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wppor.sharepoint.com/sites/WRAP-PA-PO/Shared Documents/"/>
    </mc:Choice>
  </mc:AlternateContent>
  <xr:revisionPtr revIDLastSave="869" documentId="8_{00C23134-A80E-4E02-A541-E5DFF419FE02}" xr6:coauthVersionLast="47" xr6:coauthVersionMax="47" xr10:uidLastSave="{A6491FAF-7BB7-4C2F-A88C-8BA0C05A4E25}"/>
  <bookViews>
    <workbookView xWindow="-43305" yWindow="-4140" windowWidth="14610" windowHeight="15585" firstSheet="1" activeTab="2" xr2:uid="{F8786100-9116-44A5-91ED-B930F9BE9D77}"/>
  </bookViews>
  <sheets>
    <sheet name="Load Data" sheetId="3" r:id="rId1"/>
    <sheet name="Summer 27 Instructions" sheetId="12" r:id="rId2"/>
    <sheet name="S27 Forecast" sheetId="11" r:id="rId3"/>
    <sheet name="Winter Instructions" sheetId="4" r:id="rId4"/>
    <sheet name="W27-28 Forecast" sheetId="6" r:id="rId5"/>
    <sheet name="Summer 28 Instructions" sheetId="15" r:id="rId6"/>
    <sheet name="S28 Forecast" sheetId="1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11" l="1"/>
  <c r="M3" i="11"/>
  <c r="M2" i="11"/>
  <c r="K2" i="11"/>
  <c r="M4" i="11" s="1"/>
  <c r="L3" i="11"/>
  <c r="L4" i="11"/>
  <c r="L5" i="11"/>
  <c r="J2" i="11"/>
  <c r="I3" i="11"/>
  <c r="I4" i="11"/>
  <c r="I5" i="11"/>
  <c r="I2" i="11"/>
  <c r="M5" i="11" l="1"/>
  <c r="B13" i="4" l="1"/>
  <c r="B11" i="4"/>
  <c r="B9" i="4"/>
  <c r="B8" i="4"/>
  <c r="B7" i="4"/>
  <c r="B6" i="4"/>
  <c r="B5" i="4"/>
  <c r="B11" i="15"/>
  <c r="B13" i="15"/>
  <c r="I2" i="13"/>
  <c r="B9" i="15"/>
  <c r="B8" i="15"/>
  <c r="B7" i="15"/>
  <c r="B6" i="15"/>
  <c r="B5" i="15"/>
  <c r="H3" i="13" l="1"/>
  <c r="H4" i="13"/>
  <c r="H5" i="13"/>
  <c r="H2" i="13"/>
  <c r="G5" i="13"/>
  <c r="F5" i="13"/>
  <c r="E5" i="13"/>
  <c r="D5" i="13"/>
  <c r="G4" i="13"/>
  <c r="F4" i="13"/>
  <c r="E4" i="13"/>
  <c r="D4" i="13"/>
  <c r="G3" i="13"/>
  <c r="F3" i="13"/>
  <c r="E3" i="13"/>
  <c r="D3" i="13"/>
  <c r="G2" i="13"/>
  <c r="F2" i="13"/>
  <c r="E2" i="13"/>
  <c r="D2" i="13"/>
  <c r="D5" i="6"/>
  <c r="D4" i="6"/>
  <c r="D3" i="6"/>
  <c r="D2" i="6"/>
  <c r="D1" i="6"/>
  <c r="E13" i="6"/>
  <c r="E3" i="6" s="1"/>
  <c r="D2" i="11"/>
  <c r="H5" i="11"/>
  <c r="G5" i="11"/>
  <c r="F5" i="11"/>
  <c r="E5" i="11"/>
  <c r="D5" i="11"/>
  <c r="H4" i="11"/>
  <c r="G4" i="11"/>
  <c r="F4" i="11"/>
  <c r="E4" i="11"/>
  <c r="D4" i="11"/>
  <c r="H3" i="11"/>
  <c r="G3" i="11"/>
  <c r="F3" i="11"/>
  <c r="E3" i="11"/>
  <c r="D3" i="11"/>
  <c r="H2" i="11"/>
  <c r="G2" i="11"/>
  <c r="F2" i="11"/>
  <c r="E2" i="11"/>
  <c r="F15" i="3"/>
  <c r="E15" i="3"/>
  <c r="T14" i="3"/>
  <c r="G14" i="3"/>
  <c r="H14" i="3"/>
  <c r="I14" i="3"/>
  <c r="J14" i="3"/>
  <c r="K14" i="3"/>
  <c r="L14" i="3"/>
  <c r="M14" i="3"/>
  <c r="N14" i="3"/>
  <c r="O14" i="3"/>
  <c r="P14" i="3"/>
  <c r="Q14" i="3"/>
  <c r="R14" i="3"/>
  <c r="S14" i="3"/>
  <c r="F14" i="3"/>
  <c r="S15" i="3"/>
  <c r="E14" i="6" l="1"/>
  <c r="E2" i="6"/>
  <c r="H6" i="13"/>
  <c r="N2" i="11"/>
  <c r="N5" i="11"/>
  <c r="N3" i="11"/>
  <c r="G6" i="11"/>
  <c r="E6" i="11"/>
  <c r="D6" i="13"/>
  <c r="N4" i="11"/>
  <c r="H6" i="11"/>
  <c r="F6" i="11"/>
  <c r="D6" i="11"/>
  <c r="G6" i="13"/>
  <c r="F6" i="13"/>
  <c r="E6" i="13"/>
  <c r="I5" i="13"/>
  <c r="J5" i="13" s="1"/>
  <c r="J2" i="13"/>
  <c r="D6" i="6"/>
  <c r="E5" i="6" l="1"/>
  <c r="F13" i="6"/>
  <c r="E4" i="6"/>
  <c r="E6" i="6" s="1"/>
  <c r="E1" i="6"/>
  <c r="I4" i="13"/>
  <c r="J4" i="13" s="1"/>
  <c r="I3" i="13"/>
  <c r="J3" i="13" s="1"/>
  <c r="R15" i="3"/>
  <c r="Q15" i="3"/>
  <c r="F1" i="6" l="1"/>
  <c r="F3" i="6"/>
  <c r="F2" i="6"/>
  <c r="F14" i="6"/>
  <c r="G13" i="6" l="1"/>
  <c r="F4" i="6"/>
  <c r="F5" i="6"/>
  <c r="F6" i="6" s="1"/>
  <c r="G15" i="3"/>
  <c r="H15" i="3"/>
  <c r="I15" i="3"/>
  <c r="J15" i="3"/>
  <c r="K15" i="3"/>
  <c r="L15" i="3"/>
  <c r="M15" i="3"/>
  <c r="N15" i="3"/>
  <c r="O15" i="3"/>
  <c r="P15" i="3"/>
  <c r="G14" i="6" l="1"/>
  <c r="G1" i="6"/>
  <c r="G3" i="6"/>
  <c r="G2" i="6"/>
  <c r="H13" i="6" l="1"/>
  <c r="G5" i="6"/>
  <c r="G4" i="6"/>
  <c r="G6" i="6" s="1"/>
  <c r="H14" i="6" l="1"/>
  <c r="H2" i="6"/>
  <c r="H1" i="6"/>
  <c r="H3" i="6"/>
  <c r="H5" i="6" l="1"/>
  <c r="H4" i="6"/>
  <c r="H6" i="6"/>
  <c r="I2" i="6"/>
  <c r="J2" i="6" s="1"/>
  <c r="I3" i="6" l="1"/>
  <c r="J3" i="6" s="1"/>
  <c r="I4" i="6"/>
  <c r="J4" i="6" s="1"/>
  <c r="I5" i="6"/>
  <c r="J5" i="6" s="1"/>
</calcChain>
</file>

<file path=xl/sharedStrings.xml><?xml version="1.0" encoding="utf-8"?>
<sst xmlns="http://schemas.openxmlformats.org/spreadsheetml/2006/main" count="213" uniqueCount="108">
  <si>
    <t>Step #</t>
  </si>
  <si>
    <t>Instruction</t>
  </si>
  <si>
    <t>Step 1</t>
  </si>
  <si>
    <t>Determine the monthly peak from each month in the Summer season for the last five seasons</t>
  </si>
  <si>
    <t>Step 2</t>
  </si>
  <si>
    <t>Calculate the maximum peak load for each of the last 5 seasons</t>
  </si>
  <si>
    <t>D6</t>
  </si>
  <si>
    <t>E6</t>
  </si>
  <si>
    <t>F6</t>
  </si>
  <si>
    <t>2022 – 3,819 MW</t>
  </si>
  <si>
    <t>G6</t>
  </si>
  <si>
    <t>Step 3</t>
  </si>
  <si>
    <t>Step 4</t>
  </si>
  <si>
    <t>I2</t>
  </si>
  <si>
    <t>Step 5</t>
  </si>
  <si>
    <t>Associated Cell for Winter</t>
  </si>
  <si>
    <t>Determine the monthly peak from each month in the Winter season for the last five seasons</t>
  </si>
  <si>
    <t>I3:I5</t>
  </si>
  <si>
    <t>ABC</t>
  </si>
  <si>
    <t>winter</t>
  </si>
  <si>
    <t>summer</t>
  </si>
  <si>
    <t>season</t>
  </si>
  <si>
    <t>Month</t>
  </si>
  <si>
    <t>Season</t>
  </si>
  <si>
    <t>June</t>
  </si>
  <si>
    <t>Summer</t>
  </si>
  <si>
    <t>July</t>
  </si>
  <si>
    <t>August</t>
  </si>
  <si>
    <t>September</t>
  </si>
  <si>
    <t>Maximum</t>
  </si>
  <si>
    <t>November</t>
  </si>
  <si>
    <t>Winter</t>
  </si>
  <si>
    <t>December</t>
  </si>
  <si>
    <t>January</t>
  </si>
  <si>
    <t>February</t>
  </si>
  <si>
    <t>March</t>
  </si>
  <si>
    <t>Seasonal
Peak Months</t>
  </si>
  <si>
    <t>2027/2028 Monthly P50 Peak Load Forecast - Unadjusted for Load Growth</t>
  </si>
  <si>
    <t>2027/2028 Monthly P50 Peak Load Forecast - Adjusted for Load Growth</t>
  </si>
  <si>
    <t>2027 Monthly P50 Peak Load Forecast - Adjusted for Load Growth</t>
  </si>
  <si>
    <t>2027 Monthly P50 Peak Load Forecast - Unadjusted for Load Growth</t>
  </si>
  <si>
    <t>D2:H5</t>
  </si>
  <si>
    <t>D6:H6</t>
  </si>
  <si>
    <t>H6</t>
  </si>
  <si>
    <t>Month #</t>
  </si>
  <si>
    <t>April</t>
  </si>
  <si>
    <t>May</t>
  </si>
  <si>
    <t>October</t>
  </si>
  <si>
    <t xml:space="preserve">2021 – 4,036 MW </t>
  </si>
  <si>
    <t>2023 – 3,288 MW</t>
  </si>
  <si>
    <t>2024 – 4,036 MW</t>
  </si>
  <si>
    <t>2025 – 4,128 MW</t>
  </si>
  <si>
    <t>In this example;</t>
  </si>
  <si>
    <t>The monthly P50 Peak Load Forecast for November is the median of the respective load values from step 1</t>
  </si>
  <si>
    <t>Entity</t>
  </si>
  <si>
    <t>The Monthly P50 Peak Load Forecast for the Peak Months is the median of the maximum peak loads from step 2</t>
  </si>
  <si>
    <t>J2:J5</t>
  </si>
  <si>
    <t>Note:</t>
  </si>
  <si>
    <t>NA</t>
  </si>
  <si>
    <t>Start</t>
  </si>
  <si>
    <t>End</t>
  </si>
  <si>
    <t>Winter Season</t>
  </si>
  <si>
    <t>2028 Monthly P50 Peak Load Forecast - Unadjusted for Load Growth</t>
  </si>
  <si>
    <t>2028 Monthly P50 Peak Load Forecast - Adjusted for Load Growth</t>
  </si>
  <si>
    <t>Summer Peak Months</t>
  </si>
  <si>
    <t>The monthly P50 Peak Load Forecast for September is the median of the respective load values from step 1</t>
  </si>
  <si>
    <t>Values hidden in D13:H14 of the Winter Forecast tab change seasonal years represented in graph headers: D1:H1</t>
  </si>
  <si>
    <t>Cell references in D2:H5 of the Winter Forecast tab will have to change to represent entirety of Load Data table</t>
  </si>
  <si>
    <t>Monthly Average of Peak Loads</t>
  </si>
  <si>
    <t>Maximum Monthly Average of Peak Loads</t>
  </si>
  <si>
    <t>Median of Maximum of Peak Loads</t>
  </si>
  <si>
    <t>Load Forecast Ratio</t>
  </si>
  <si>
    <t>Defining Summer Peak Months and new P50 methodology will take effect for Summer of 2028, starting March 16, 2027 (BPM 103)</t>
  </si>
  <si>
    <t>July – 3,469 MW</t>
  </si>
  <si>
    <t>August – 3,451 MW</t>
  </si>
  <si>
    <t>September – 3,084 MW</t>
  </si>
  <si>
    <t>Solve for the Monthly Average of Peak Loads and find the Maximum</t>
  </si>
  <si>
    <t>I3</t>
  </si>
  <si>
    <t>I4</t>
  </si>
  <si>
    <t>I5</t>
  </si>
  <si>
    <t>Calculate the Load Forecast Ratio by dividing each of the Monthly Average Peak Loads by the Maximum Monthly Average of Peak Loads</t>
  </si>
  <si>
    <t>June – 1.00</t>
  </si>
  <si>
    <t>July – 0.92</t>
  </si>
  <si>
    <t>August – 0.91</t>
  </si>
  <si>
    <t>September – 0.82</t>
  </si>
  <si>
    <t>I2:I5, J2</t>
  </si>
  <si>
    <t>L2:L5</t>
  </si>
  <si>
    <t>Find the Median of the Maximum of the Peak Loads from Step 2</t>
  </si>
  <si>
    <t>K2</t>
  </si>
  <si>
    <t>June – 4,036 MW</t>
  </si>
  <si>
    <t>July – 3,704 MW</t>
  </si>
  <si>
    <t>August – 3,684 MW</t>
  </si>
  <si>
    <t>September – 3,293 MW</t>
  </si>
  <si>
    <t>K2*L2 = M2</t>
  </si>
  <si>
    <t>K3*L3 = M3</t>
  </si>
  <si>
    <t>K4*L4 = M4</t>
  </si>
  <si>
    <t>K5*L5 = M5</t>
  </si>
  <si>
    <t>Solve for the Monthly P50 Peak Load Forecast;</t>
  </si>
  <si>
    <t>Step 6</t>
  </si>
  <si>
    <t>Find the Median of the Maximum of the Peak Loads (Step 2) and multiply the Median by the Load Forecast Ratio (Step 4) to get the Monthly P50 Peak Load Forecast -- Unadjusted</t>
  </si>
  <si>
    <t>M2:M5</t>
  </si>
  <si>
    <t>I2/J2 = L2</t>
  </si>
  <si>
    <t>I3/J2 = L3</t>
  </si>
  <si>
    <t>I4/J2 = L4</t>
  </si>
  <si>
    <t>I5/J2 = L5</t>
  </si>
  <si>
    <r>
      <t xml:space="preserve">June – 3,781 MW </t>
    </r>
    <r>
      <rPr>
        <b/>
        <sz val="11"/>
        <color theme="1"/>
        <rFont val="Calibri"/>
        <family val="2"/>
        <scheme val="minor"/>
      </rPr>
      <t>(Maximum)</t>
    </r>
  </si>
  <si>
    <r>
      <t xml:space="preserve">I2, </t>
    </r>
    <r>
      <rPr>
        <b/>
        <sz val="11"/>
        <color theme="1"/>
        <rFont val="Calibri"/>
        <family val="2"/>
        <scheme val="minor"/>
      </rPr>
      <t>J2</t>
    </r>
  </si>
  <si>
    <t>The Monthly P50 Peak Load Forecast is multiplied by 1.1%/year (2yrs) to arrive at the forecasted Monthly P50 Peak Load adjusted for load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</si>
</sst>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b/>
      <sz val="11"/>
      <color theme="0"/>
      <name val="Calibri"/>
      <family val="2"/>
      <scheme val="minor"/>
    </font>
    <font>
      <b/>
      <sz val="11"/>
      <color rgb="FFFF0000"/>
      <name val="Calibri"/>
      <family val="2"/>
      <scheme val="minor"/>
    </font>
    <font>
      <b/>
      <sz val="11"/>
      <color theme="1" tint="0.499984740745262"/>
      <name val="Calibri"/>
      <family val="2"/>
      <scheme val="minor"/>
    </font>
    <font>
      <sz val="8"/>
      <name val="Calibri"/>
      <family val="2"/>
      <scheme val="minor"/>
    </font>
    <font>
      <sz val="11"/>
      <name val="Calibri"/>
      <family val="2"/>
      <scheme val="minor"/>
    </font>
    <font>
      <sz val="11"/>
      <color theme="1"/>
      <name val="Calibri"/>
      <family val="2"/>
      <scheme val="minor"/>
    </font>
    <font>
      <sz val="11"/>
      <color theme="0"/>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39997558519241921"/>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7" fillId="0" borderId="0" applyFont="0" applyFill="0" applyBorder="0" applyAlignment="0" applyProtection="0"/>
  </cellStyleXfs>
  <cellXfs count="104">
    <xf numFmtId="0" fontId="0" fillId="0" borderId="0" xfId="0"/>
    <xf numFmtId="1" fontId="0" fillId="0" borderId="0" xfId="0" applyNumberFormat="1"/>
    <xf numFmtId="1" fontId="0" fillId="2" borderId="0" xfId="0" applyNumberFormat="1" applyFill="1"/>
    <xf numFmtId="0" fontId="1" fillId="3" borderId="0" xfId="0" applyFont="1" applyFill="1"/>
    <xf numFmtId="0" fontId="1" fillId="0" borderId="0" xfId="0" applyFont="1" applyAlignment="1">
      <alignment wrapText="1"/>
    </xf>
    <xf numFmtId="1" fontId="1" fillId="2" borderId="0" xfId="0" applyNumberFormat="1" applyFont="1" applyFill="1"/>
    <xf numFmtId="0" fontId="2" fillId="4" borderId="1" xfId="0" applyFont="1" applyFill="1" applyBorder="1" applyAlignment="1">
      <alignment wrapText="1"/>
    </xf>
    <xf numFmtId="0" fontId="1" fillId="0" borderId="1" xfId="0" applyFont="1" applyBorder="1" applyAlignment="1">
      <alignment wrapText="1"/>
    </xf>
    <xf numFmtId="1" fontId="0" fillId="0" borderId="1" xfId="0" applyNumberFormat="1" applyBorder="1"/>
    <xf numFmtId="0" fontId="0" fillId="0" borderId="1" xfId="0" applyBorder="1"/>
    <xf numFmtId="1" fontId="0" fillId="0" borderId="4" xfId="0" applyNumberFormat="1" applyBorder="1"/>
    <xf numFmtId="3" fontId="0" fillId="5" borderId="1" xfId="0" applyNumberFormat="1" applyFill="1" applyBorder="1" applyAlignment="1">
      <alignment horizontal="center"/>
    </xf>
    <xf numFmtId="3" fontId="6" fillId="6" borderId="2" xfId="0" applyNumberFormat="1" applyFont="1" applyFill="1" applyBorder="1" applyAlignment="1">
      <alignment horizontal="center"/>
    </xf>
    <xf numFmtId="3" fontId="3" fillId="6" borderId="2" xfId="0" applyNumberFormat="1" applyFont="1" applyFill="1" applyBorder="1" applyAlignment="1">
      <alignment horizontal="center"/>
    </xf>
    <xf numFmtId="3" fontId="0" fillId="5" borderId="4" xfId="0" applyNumberFormat="1" applyFill="1" applyBorder="1" applyAlignment="1">
      <alignment horizontal="center"/>
    </xf>
    <xf numFmtId="3" fontId="6" fillId="6" borderId="4" xfId="0" applyNumberFormat="1" applyFont="1" applyFill="1" applyBorder="1" applyAlignment="1">
      <alignment horizontal="center"/>
    </xf>
    <xf numFmtId="3" fontId="3" fillId="6" borderId="5" xfId="0" applyNumberFormat="1" applyFont="1" applyFill="1" applyBorder="1" applyAlignment="1">
      <alignment horizontal="center"/>
    </xf>
    <xf numFmtId="3" fontId="0" fillId="5" borderId="0" xfId="0" applyNumberFormat="1" applyFill="1" applyAlignment="1">
      <alignment horizontal="center"/>
    </xf>
    <xf numFmtId="3" fontId="6" fillId="6" borderId="0" xfId="0" applyNumberFormat="1" applyFont="1" applyFill="1" applyAlignment="1">
      <alignment horizontal="center"/>
    </xf>
    <xf numFmtId="3" fontId="3" fillId="6" borderId="9" xfId="0" applyNumberFormat="1" applyFont="1" applyFill="1" applyBorder="1" applyAlignment="1">
      <alignment horizontal="center"/>
    </xf>
    <xf numFmtId="3" fontId="6" fillId="6" borderId="1" xfId="0" applyNumberFormat="1" applyFont="1" applyFill="1" applyBorder="1" applyAlignment="1">
      <alignment horizontal="center"/>
    </xf>
    <xf numFmtId="3" fontId="3" fillId="6" borderId="7" xfId="0" applyNumberFormat="1" applyFont="1" applyFill="1" applyBorder="1" applyAlignment="1">
      <alignment horizontal="center"/>
    </xf>
    <xf numFmtId="3" fontId="4" fillId="2" borderId="0" xfId="0" applyNumberFormat="1" applyFont="1" applyFill="1" applyAlignment="1">
      <alignment horizontal="center"/>
    </xf>
    <xf numFmtId="0" fontId="1" fillId="0" borderId="0" xfId="0" applyFont="1"/>
    <xf numFmtId="0" fontId="1" fillId="7" borderId="10" xfId="0" applyFont="1" applyFill="1" applyBorder="1"/>
    <xf numFmtId="0" fontId="1" fillId="0" borderId="0" xfId="0" applyFont="1" applyAlignment="1">
      <alignment vertical="center" wrapText="1"/>
    </xf>
    <xf numFmtId="0" fontId="0" fillId="0" borderId="0" xfId="0" applyAlignment="1">
      <alignment vertical="center" wrapText="1"/>
    </xf>
    <xf numFmtId="3" fontId="0" fillId="0" borderId="0" xfId="0" applyNumberFormat="1"/>
    <xf numFmtId="3" fontId="0" fillId="2" borderId="0" xfId="0" applyNumberFormat="1" applyFill="1"/>
    <xf numFmtId="1" fontId="0" fillId="0" borderId="11" xfId="0" applyNumberFormat="1" applyBorder="1"/>
    <xf numFmtId="0" fontId="0" fillId="0" borderId="0" xfId="0" applyAlignment="1">
      <alignment vertical="center"/>
    </xf>
    <xf numFmtId="0" fontId="1" fillId="0" borderId="12" xfId="0" applyFont="1" applyBorder="1" applyAlignment="1">
      <alignment wrapText="1"/>
    </xf>
    <xf numFmtId="0" fontId="1" fillId="0" borderId="13" xfId="0" applyFont="1" applyBorder="1" applyAlignment="1">
      <alignment wrapText="1"/>
    </xf>
    <xf numFmtId="3" fontId="3" fillId="6" borderId="13" xfId="0" applyNumberFormat="1" applyFont="1" applyFill="1" applyBorder="1" applyAlignment="1">
      <alignment horizontal="center"/>
    </xf>
    <xf numFmtId="3" fontId="3" fillId="6" borderId="14" xfId="0" applyNumberFormat="1" applyFont="1" applyFill="1" applyBorder="1" applyAlignment="1">
      <alignment horizontal="center"/>
    </xf>
    <xf numFmtId="3" fontId="3" fillId="6" borderId="16" xfId="0" applyNumberFormat="1" applyFont="1" applyFill="1" applyBorder="1" applyAlignment="1">
      <alignment horizontal="center"/>
    </xf>
    <xf numFmtId="0" fontId="2" fillId="4" borderId="12" xfId="0" applyFont="1" applyFill="1" applyBorder="1" applyAlignment="1">
      <alignment wrapText="1"/>
    </xf>
    <xf numFmtId="0" fontId="2" fillId="4" borderId="17" xfId="0" applyFont="1" applyFill="1" applyBorder="1" applyAlignment="1">
      <alignment wrapText="1"/>
    </xf>
    <xf numFmtId="0" fontId="2" fillId="4" borderId="17" xfId="0" applyFont="1" applyFill="1" applyBorder="1" applyAlignment="1">
      <alignment horizontal="center" wrapText="1"/>
    </xf>
    <xf numFmtId="0" fontId="2" fillId="4" borderId="13" xfId="0" applyFont="1" applyFill="1" applyBorder="1" applyAlignment="1">
      <alignment horizontal="center" wrapText="1"/>
    </xf>
    <xf numFmtId="1" fontId="0" fillId="0" borderId="12" xfId="0" applyNumberFormat="1" applyBorder="1"/>
    <xf numFmtId="3" fontId="0" fillId="5" borderId="17" xfId="0" applyNumberFormat="1" applyFill="1" applyBorder="1" applyAlignment="1">
      <alignment horizontal="center"/>
    </xf>
    <xf numFmtId="1" fontId="0" fillId="0" borderId="15" xfId="0" applyNumberFormat="1" applyBorder="1"/>
    <xf numFmtId="3" fontId="0" fillId="5" borderId="10" xfId="0" applyNumberFormat="1" applyFill="1" applyBorder="1" applyAlignment="1">
      <alignment horizontal="center"/>
    </xf>
    <xf numFmtId="1" fontId="0" fillId="0" borderId="18" xfId="0" applyNumberFormat="1" applyBorder="1"/>
    <xf numFmtId="1" fontId="0" fillId="0" borderId="19" xfId="0" applyNumberFormat="1" applyBorder="1"/>
    <xf numFmtId="1" fontId="0" fillId="0" borderId="20" xfId="0" applyNumberFormat="1" applyBorder="1"/>
    <xf numFmtId="3" fontId="6" fillId="6" borderId="18" xfId="0" applyNumberFormat="1" applyFont="1" applyFill="1" applyBorder="1" applyAlignment="1">
      <alignment horizontal="center"/>
    </xf>
    <xf numFmtId="3" fontId="6" fillId="6" borderId="19" xfId="0" applyNumberFormat="1" applyFont="1" applyFill="1" applyBorder="1" applyAlignment="1">
      <alignment horizontal="center"/>
    </xf>
    <xf numFmtId="3" fontId="6" fillId="6" borderId="20" xfId="0" applyNumberFormat="1" applyFont="1" applyFill="1" applyBorder="1" applyAlignment="1">
      <alignment horizontal="center"/>
    </xf>
    <xf numFmtId="9" fontId="0" fillId="0" borderId="0" xfId="1" applyFont="1"/>
    <xf numFmtId="164" fontId="0" fillId="0" borderId="0" xfId="1" applyNumberFormat="1" applyFont="1" applyAlignment="1">
      <alignment wrapText="1"/>
    </xf>
    <xf numFmtId="0" fontId="2" fillId="4" borderId="0" xfId="0" applyFont="1" applyFill="1" applyAlignment="1">
      <alignment wrapText="1"/>
    </xf>
    <xf numFmtId="1" fontId="0" fillId="0" borderId="21" xfId="0" applyNumberFormat="1" applyBorder="1"/>
    <xf numFmtId="1" fontId="0" fillId="0" borderId="22" xfId="0" applyNumberFormat="1" applyBorder="1"/>
    <xf numFmtId="1" fontId="0" fillId="0" borderId="23" xfId="0" applyNumberFormat="1" applyBorder="1"/>
    <xf numFmtId="1" fontId="0" fillId="0" borderId="24" xfId="0" applyNumberFormat="1" applyBorder="1"/>
    <xf numFmtId="3" fontId="6" fillId="5" borderId="1" xfId="0" applyNumberFormat="1" applyFont="1" applyFill="1" applyBorder="1" applyAlignment="1">
      <alignment horizontal="center"/>
    </xf>
    <xf numFmtId="0" fontId="0" fillId="9" borderId="18" xfId="0" applyFill="1" applyBorder="1"/>
    <xf numFmtId="0" fontId="0" fillId="9" borderId="20" xfId="0" applyFill="1" applyBorder="1"/>
    <xf numFmtId="0" fontId="0" fillId="8" borderId="0" xfId="0" applyFill="1"/>
    <xf numFmtId="0" fontId="0" fillId="8" borderId="14" xfId="0" applyFill="1" applyBorder="1"/>
    <xf numFmtId="0" fontId="0" fillId="8" borderId="10" xfId="0" applyFill="1" applyBorder="1"/>
    <xf numFmtId="0" fontId="0" fillId="8" borderId="16" xfId="0" applyFill="1" applyBorder="1"/>
    <xf numFmtId="3" fontId="6" fillId="6" borderId="28" xfId="0" applyNumberFormat="1" applyFont="1" applyFill="1" applyBorder="1" applyAlignment="1">
      <alignment horizontal="center"/>
    </xf>
    <xf numFmtId="1" fontId="0" fillId="0" borderId="3" xfId="0" applyNumberFormat="1" applyBorder="1"/>
    <xf numFmtId="1" fontId="0" fillId="0" borderId="8" xfId="0" applyNumberFormat="1" applyBorder="1"/>
    <xf numFmtId="1" fontId="0" fillId="0" borderId="6" xfId="0" applyNumberFormat="1" applyBorder="1"/>
    <xf numFmtId="0" fontId="0" fillId="0" borderId="0" xfId="0" applyAlignment="1">
      <alignment wrapText="1"/>
    </xf>
    <xf numFmtId="0" fontId="0" fillId="9" borderId="0" xfId="0" applyFill="1"/>
    <xf numFmtId="0" fontId="1" fillId="9" borderId="0" xfId="0" applyFont="1" applyFill="1"/>
    <xf numFmtId="0" fontId="0" fillId="11" borderId="0" xfId="0" applyFill="1"/>
    <xf numFmtId="0" fontId="1" fillId="11" borderId="0" xfId="0" applyFont="1" applyFill="1"/>
    <xf numFmtId="3" fontId="6" fillId="0" borderId="0" xfId="0" applyNumberFormat="1" applyFont="1"/>
    <xf numFmtId="0" fontId="0" fillId="0" borderId="3" xfId="0" applyBorder="1" applyAlignment="1">
      <alignment horizontal="center" vertical="center" wrapText="1"/>
    </xf>
    <xf numFmtId="0" fontId="0" fillId="0" borderId="8" xfId="0" applyBorder="1" applyAlignment="1">
      <alignment horizontal="center" vertical="center"/>
    </xf>
    <xf numFmtId="0" fontId="0" fillId="0" borderId="6" xfId="0" applyBorder="1" applyAlignment="1">
      <alignment horizontal="center" vertical="center"/>
    </xf>
    <xf numFmtId="0" fontId="8" fillId="10" borderId="25" xfId="0" applyFont="1" applyFill="1" applyBorder="1" applyAlignment="1">
      <alignment horizontal="center"/>
    </xf>
    <xf numFmtId="0" fontId="8" fillId="10" borderId="26" xfId="0" applyFont="1" applyFill="1" applyBorder="1" applyAlignment="1">
      <alignment horizontal="center"/>
    </xf>
    <xf numFmtId="0" fontId="8" fillId="10" borderId="27" xfId="0" applyFont="1" applyFill="1" applyBorder="1" applyAlignment="1">
      <alignment horizontal="center"/>
    </xf>
    <xf numFmtId="14" fontId="0" fillId="11" borderId="29" xfId="0" applyNumberFormat="1" applyFill="1" applyBorder="1" applyAlignment="1">
      <alignment horizontal="center" vertical="center" wrapText="1"/>
    </xf>
    <xf numFmtId="14" fontId="0" fillId="11" borderId="30" xfId="0" applyNumberFormat="1" applyFill="1" applyBorder="1" applyAlignment="1">
      <alignment horizontal="center" vertical="center" wrapText="1"/>
    </xf>
    <xf numFmtId="14" fontId="0" fillId="11" borderId="31" xfId="0" applyNumberFormat="1" applyFill="1" applyBorder="1" applyAlignment="1">
      <alignment horizontal="center" vertical="center" wrapText="1"/>
    </xf>
    <xf numFmtId="3" fontId="6" fillId="6" borderId="0" xfId="0" applyNumberFormat="1" applyFont="1" applyFill="1" applyBorder="1" applyAlignment="1">
      <alignment horizontal="center"/>
    </xf>
    <xf numFmtId="3" fontId="6" fillId="6" borderId="17" xfId="0" applyNumberFormat="1" applyFont="1" applyFill="1" applyBorder="1" applyAlignment="1">
      <alignment horizontal="center"/>
    </xf>
    <xf numFmtId="3" fontId="6" fillId="6" borderId="10" xfId="0" applyNumberFormat="1" applyFont="1" applyFill="1" applyBorder="1" applyAlignment="1">
      <alignment horizontal="center"/>
    </xf>
    <xf numFmtId="0" fontId="1" fillId="0" borderId="17" xfId="0" applyFont="1" applyBorder="1" applyAlignment="1">
      <alignment wrapText="1"/>
    </xf>
    <xf numFmtId="0" fontId="2" fillId="12" borderId="12" xfId="0" applyFont="1" applyFill="1" applyBorder="1" applyAlignment="1">
      <alignment horizontal="center" wrapText="1"/>
    </xf>
    <xf numFmtId="0" fontId="2" fillId="12" borderId="17" xfId="0" applyFont="1" applyFill="1" applyBorder="1" applyAlignment="1">
      <alignment horizontal="center" wrapText="1"/>
    </xf>
    <xf numFmtId="0" fontId="2" fillId="12" borderId="13" xfId="0" applyFont="1" applyFill="1" applyBorder="1" applyAlignment="1">
      <alignment horizontal="center" wrapText="1"/>
    </xf>
    <xf numFmtId="3" fontId="0" fillId="13" borderId="12" xfId="0" applyNumberFormat="1" applyFill="1" applyBorder="1" applyAlignment="1">
      <alignment horizontal="center"/>
    </xf>
    <xf numFmtId="3" fontId="0" fillId="13" borderId="17" xfId="0" applyNumberFormat="1" applyFill="1" applyBorder="1" applyAlignment="1">
      <alignment horizontal="center"/>
    </xf>
    <xf numFmtId="3" fontId="0" fillId="13" borderId="11" xfId="0" applyNumberFormat="1" applyFill="1" applyBorder="1" applyAlignment="1">
      <alignment horizontal="center"/>
    </xf>
    <xf numFmtId="3" fontId="0" fillId="13" borderId="0" xfId="0" applyNumberFormat="1" applyFill="1" applyBorder="1" applyAlignment="1">
      <alignment horizontal="center"/>
    </xf>
    <xf numFmtId="3" fontId="0" fillId="13" borderId="15" xfId="0" applyNumberFormat="1" applyFill="1" applyBorder="1" applyAlignment="1">
      <alignment horizontal="center"/>
    </xf>
    <xf numFmtId="3" fontId="0" fillId="13" borderId="10" xfId="0" applyNumberFormat="1" applyFill="1" applyBorder="1" applyAlignment="1">
      <alignment horizontal="center"/>
    </xf>
    <xf numFmtId="3" fontId="0" fillId="13" borderId="17" xfId="0" applyNumberFormat="1" applyFont="1" applyFill="1" applyBorder="1" applyAlignment="1">
      <alignment horizontal="center"/>
    </xf>
    <xf numFmtId="4" fontId="0" fillId="13" borderId="13" xfId="0" applyNumberFormat="1" applyFont="1" applyFill="1" applyBorder="1" applyAlignment="1">
      <alignment horizontal="center"/>
    </xf>
    <xf numFmtId="3" fontId="0" fillId="13" borderId="0" xfId="0" applyNumberFormat="1" applyFont="1" applyFill="1" applyBorder="1" applyAlignment="1">
      <alignment horizontal="center"/>
    </xf>
    <xf numFmtId="4" fontId="0" fillId="13" borderId="14" xfId="0" applyNumberFormat="1" applyFont="1" applyFill="1" applyBorder="1" applyAlignment="1">
      <alignment horizontal="center"/>
    </xf>
    <xf numFmtId="3" fontId="0" fillId="13" borderId="10" xfId="0" applyNumberFormat="1" applyFont="1" applyFill="1" applyBorder="1" applyAlignment="1">
      <alignment horizontal="center"/>
    </xf>
    <xf numFmtId="4" fontId="0" fillId="13" borderId="16" xfId="0" applyNumberFormat="1" applyFont="1" applyFill="1" applyBorder="1" applyAlignment="1">
      <alignment horizontal="center"/>
    </xf>
    <xf numFmtId="0" fontId="0" fillId="0" borderId="0" xfId="0" applyFont="1" applyAlignment="1">
      <alignment wrapText="1"/>
    </xf>
    <xf numFmtId="0" fontId="0"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A112-3AA0-4CCE-B345-0FB62886FA2B}">
  <dimension ref="A1:U17"/>
  <sheetViews>
    <sheetView topLeftCell="G1" workbookViewId="0">
      <selection activeCell="T12" sqref="T12"/>
    </sheetView>
  </sheetViews>
  <sheetFormatPr defaultRowHeight="14.5" x14ac:dyDescent="0.35"/>
  <cols>
    <col min="2" max="2" width="10.36328125" bestFit="1" customWidth="1"/>
  </cols>
  <sheetData>
    <row r="1" spans="1:21" x14ac:dyDescent="0.35">
      <c r="A1" s="3" t="s">
        <v>54</v>
      </c>
      <c r="B1" s="3" t="s">
        <v>22</v>
      </c>
      <c r="C1" s="3" t="s">
        <v>44</v>
      </c>
      <c r="D1" s="3"/>
      <c r="E1" s="3">
        <v>2011</v>
      </c>
      <c r="F1" s="3">
        <v>2012</v>
      </c>
      <c r="G1" s="3">
        <v>2013</v>
      </c>
      <c r="H1" s="3">
        <v>2014</v>
      </c>
      <c r="I1" s="3">
        <v>2015</v>
      </c>
      <c r="J1" s="3">
        <v>2016</v>
      </c>
      <c r="K1" s="3">
        <v>2017</v>
      </c>
      <c r="L1" s="3">
        <v>2018</v>
      </c>
      <c r="M1" s="3">
        <v>2019</v>
      </c>
      <c r="N1" s="3">
        <v>2020</v>
      </c>
      <c r="O1" s="3">
        <v>2021</v>
      </c>
      <c r="P1" s="3">
        <v>2022</v>
      </c>
      <c r="Q1" s="3">
        <v>2023</v>
      </c>
      <c r="R1" s="3">
        <v>2024</v>
      </c>
      <c r="S1" s="3">
        <v>2025</v>
      </c>
      <c r="T1" s="3">
        <v>2026</v>
      </c>
    </row>
    <row r="2" spans="1:21" x14ac:dyDescent="0.35">
      <c r="A2" t="s">
        <v>18</v>
      </c>
      <c r="B2" t="s">
        <v>33</v>
      </c>
      <c r="C2" s="1">
        <v>1</v>
      </c>
      <c r="D2" s="1" t="s">
        <v>19</v>
      </c>
      <c r="E2" s="27">
        <v>4101</v>
      </c>
      <c r="F2" s="27">
        <v>4328</v>
      </c>
      <c r="G2" s="27">
        <v>4226</v>
      </c>
      <c r="H2" s="27">
        <v>3973</v>
      </c>
      <c r="I2" s="27">
        <v>3833</v>
      </c>
      <c r="J2" s="27">
        <v>4101</v>
      </c>
      <c r="K2" s="27">
        <v>4326</v>
      </c>
      <c r="L2" s="27">
        <v>3954</v>
      </c>
      <c r="M2" s="27">
        <v>3833</v>
      </c>
      <c r="N2" s="27">
        <v>3866</v>
      </c>
      <c r="O2" s="27">
        <v>3833</v>
      </c>
      <c r="P2" s="27">
        <v>4187</v>
      </c>
      <c r="Q2" s="27">
        <v>3973</v>
      </c>
      <c r="R2" s="27">
        <v>4326</v>
      </c>
      <c r="S2" s="73">
        <v>4162</v>
      </c>
      <c r="T2" s="73">
        <v>4235</v>
      </c>
      <c r="U2" s="1"/>
    </row>
    <row r="3" spans="1:21" x14ac:dyDescent="0.35">
      <c r="A3" t="s">
        <v>18</v>
      </c>
      <c r="B3" t="s">
        <v>34</v>
      </c>
      <c r="C3" s="1">
        <v>2</v>
      </c>
      <c r="D3" s="1" t="s">
        <v>19</v>
      </c>
      <c r="E3" s="27">
        <v>3649</v>
      </c>
      <c r="F3" s="27">
        <v>3997</v>
      </c>
      <c r="G3" s="27">
        <v>3799</v>
      </c>
      <c r="H3" s="27">
        <v>4637</v>
      </c>
      <c r="I3" s="27">
        <v>4182</v>
      </c>
      <c r="J3" s="27">
        <v>3649</v>
      </c>
      <c r="K3" s="27">
        <v>4317</v>
      </c>
      <c r="L3" s="27">
        <v>4206</v>
      </c>
      <c r="M3" s="27">
        <v>4498</v>
      </c>
      <c r="N3" s="27">
        <v>3680</v>
      </c>
      <c r="O3" s="27">
        <v>4182</v>
      </c>
      <c r="P3" s="27">
        <v>4323</v>
      </c>
      <c r="Q3" s="27">
        <v>4206</v>
      </c>
      <c r="R3" s="27">
        <v>3997</v>
      </c>
      <c r="S3" s="73">
        <v>4175</v>
      </c>
      <c r="T3" s="73">
        <v>4126</v>
      </c>
      <c r="U3" s="1"/>
    </row>
    <row r="4" spans="1:21" x14ac:dyDescent="0.35">
      <c r="A4" t="s">
        <v>18</v>
      </c>
      <c r="B4" t="s">
        <v>35</v>
      </c>
      <c r="C4" s="1">
        <v>3</v>
      </c>
      <c r="D4" s="1" t="s">
        <v>58</v>
      </c>
      <c r="E4" s="27">
        <v>3615</v>
      </c>
      <c r="F4" s="27">
        <v>3900</v>
      </c>
      <c r="G4" s="27">
        <v>3761</v>
      </c>
      <c r="H4" s="27">
        <v>3542</v>
      </c>
      <c r="I4" s="27">
        <v>3697</v>
      </c>
      <c r="J4" s="27">
        <v>3615</v>
      </c>
      <c r="K4" s="27">
        <v>3855</v>
      </c>
      <c r="L4" s="27">
        <v>3675</v>
      </c>
      <c r="M4" s="27">
        <v>4132</v>
      </c>
      <c r="N4" s="27">
        <v>3790</v>
      </c>
      <c r="O4" s="27">
        <v>3820</v>
      </c>
      <c r="P4" s="27">
        <v>3910</v>
      </c>
      <c r="Q4" s="27">
        <v>4132</v>
      </c>
      <c r="R4" s="27">
        <v>3790</v>
      </c>
      <c r="S4" s="73">
        <v>3824</v>
      </c>
      <c r="T4" s="73">
        <v>3321</v>
      </c>
      <c r="U4" s="1"/>
    </row>
    <row r="5" spans="1:21" x14ac:dyDescent="0.35">
      <c r="A5" t="s">
        <v>18</v>
      </c>
      <c r="B5" t="s">
        <v>45</v>
      </c>
      <c r="C5" s="1">
        <v>4</v>
      </c>
      <c r="D5" s="1" t="s">
        <v>58</v>
      </c>
      <c r="E5" s="27">
        <v>2915</v>
      </c>
      <c r="F5" s="27">
        <v>3345</v>
      </c>
      <c r="G5" s="27">
        <v>3284</v>
      </c>
      <c r="H5" s="27">
        <v>3061</v>
      </c>
      <c r="I5" s="27">
        <v>3383</v>
      </c>
      <c r="J5" s="27">
        <v>2915</v>
      </c>
      <c r="K5" s="27">
        <v>3535</v>
      </c>
      <c r="L5" s="27">
        <v>3421</v>
      </c>
      <c r="M5" s="27">
        <v>3106</v>
      </c>
      <c r="N5" s="27">
        <v>3279</v>
      </c>
      <c r="O5" s="27">
        <v>3383</v>
      </c>
      <c r="P5" s="27">
        <v>3222</v>
      </c>
      <c r="Q5" s="27">
        <v>3542</v>
      </c>
      <c r="R5" s="27">
        <v>3383</v>
      </c>
      <c r="S5" s="73">
        <v>3456</v>
      </c>
      <c r="T5" s="73">
        <v>2905</v>
      </c>
      <c r="U5" s="1"/>
    </row>
    <row r="6" spans="1:21" x14ac:dyDescent="0.35">
      <c r="A6" t="s">
        <v>18</v>
      </c>
      <c r="B6" t="s">
        <v>46</v>
      </c>
      <c r="C6" s="1">
        <v>5</v>
      </c>
      <c r="D6" s="1" t="s">
        <v>58</v>
      </c>
      <c r="E6" s="27">
        <v>2809</v>
      </c>
      <c r="F6" s="27">
        <v>3010</v>
      </c>
      <c r="G6" s="27">
        <v>3121</v>
      </c>
      <c r="H6" s="27">
        <v>2194</v>
      </c>
      <c r="I6" s="27">
        <v>2697</v>
      </c>
      <c r="J6" s="27">
        <v>2809</v>
      </c>
      <c r="K6" s="27">
        <v>3080</v>
      </c>
      <c r="L6" s="27">
        <v>2885</v>
      </c>
      <c r="M6" s="27">
        <v>2809</v>
      </c>
      <c r="N6" s="27">
        <v>2783</v>
      </c>
      <c r="O6" s="27">
        <v>2697</v>
      </c>
      <c r="P6" s="27">
        <v>3029</v>
      </c>
      <c r="Q6" s="27">
        <v>3121</v>
      </c>
      <c r="R6" s="27">
        <v>3010</v>
      </c>
      <c r="S6" s="73">
        <v>3952</v>
      </c>
      <c r="T6" s="73">
        <v>3456</v>
      </c>
      <c r="U6" s="1"/>
    </row>
    <row r="7" spans="1:21" x14ac:dyDescent="0.35">
      <c r="A7" t="s">
        <v>18</v>
      </c>
      <c r="B7" t="s">
        <v>24</v>
      </c>
      <c r="C7" s="1">
        <v>6</v>
      </c>
      <c r="D7" s="1" t="s">
        <v>20</v>
      </c>
      <c r="E7" s="27">
        <v>3138</v>
      </c>
      <c r="F7" s="27">
        <v>2722</v>
      </c>
      <c r="G7" s="27">
        <v>2878</v>
      </c>
      <c r="H7" s="27">
        <v>2677</v>
      </c>
      <c r="I7" s="27">
        <v>4036</v>
      </c>
      <c r="J7" s="27">
        <v>3138</v>
      </c>
      <c r="K7" s="27">
        <v>2679</v>
      </c>
      <c r="L7" s="27">
        <v>3161</v>
      </c>
      <c r="M7" s="27">
        <v>3138</v>
      </c>
      <c r="N7" s="27">
        <v>3225</v>
      </c>
      <c r="O7" s="27">
        <v>4036</v>
      </c>
      <c r="P7" s="27">
        <v>3478</v>
      </c>
      <c r="Q7" s="27">
        <v>3225</v>
      </c>
      <c r="R7" s="27">
        <v>4036</v>
      </c>
      <c r="S7" s="73">
        <v>4128</v>
      </c>
      <c r="T7" s="73">
        <v>7162.0956234625355</v>
      </c>
      <c r="U7" s="1"/>
    </row>
    <row r="8" spans="1:21" x14ac:dyDescent="0.35">
      <c r="A8" t="s">
        <v>18</v>
      </c>
      <c r="B8" t="s">
        <v>26</v>
      </c>
      <c r="C8" s="1">
        <v>7</v>
      </c>
      <c r="D8" s="1" t="s">
        <v>20</v>
      </c>
      <c r="E8" s="27">
        <v>3163</v>
      </c>
      <c r="F8" s="27">
        <v>2820</v>
      </c>
      <c r="G8" s="27">
        <v>3147</v>
      </c>
      <c r="H8" s="27">
        <v>3123</v>
      </c>
      <c r="I8" s="27">
        <v>3470</v>
      </c>
      <c r="J8" s="27">
        <v>3163</v>
      </c>
      <c r="K8" s="27">
        <v>2795</v>
      </c>
      <c r="L8" s="27">
        <v>3407</v>
      </c>
      <c r="M8" s="27">
        <v>3163</v>
      </c>
      <c r="N8" s="27">
        <v>3286</v>
      </c>
      <c r="O8" s="27">
        <v>3470</v>
      </c>
      <c r="P8" s="27">
        <v>3819</v>
      </c>
      <c r="Q8" s="27">
        <v>2795</v>
      </c>
      <c r="R8" s="27">
        <v>3407</v>
      </c>
      <c r="S8" s="73">
        <v>3856</v>
      </c>
      <c r="T8" s="73">
        <v>4411.2988508611697</v>
      </c>
      <c r="U8" s="1"/>
    </row>
    <row r="9" spans="1:21" x14ac:dyDescent="0.35">
      <c r="A9" t="s">
        <v>18</v>
      </c>
      <c r="B9" t="s">
        <v>27</v>
      </c>
      <c r="C9" s="1">
        <v>8</v>
      </c>
      <c r="D9" s="1" t="s">
        <v>20</v>
      </c>
      <c r="E9" s="27">
        <v>3266</v>
      </c>
      <c r="F9" s="27">
        <v>3204</v>
      </c>
      <c r="G9" s="27">
        <v>2973</v>
      </c>
      <c r="H9" s="27">
        <v>3288</v>
      </c>
      <c r="I9" s="27">
        <v>3729</v>
      </c>
      <c r="J9" s="27">
        <v>3266</v>
      </c>
      <c r="K9" s="27">
        <v>2917</v>
      </c>
      <c r="L9" s="27">
        <v>3423</v>
      </c>
      <c r="M9" s="27">
        <v>3624</v>
      </c>
      <c r="N9" s="27">
        <v>3179</v>
      </c>
      <c r="O9" s="27">
        <v>3729</v>
      </c>
      <c r="P9" s="27">
        <v>3597</v>
      </c>
      <c r="Q9" s="27">
        <v>3288</v>
      </c>
      <c r="R9" s="27">
        <v>3288</v>
      </c>
      <c r="S9" s="73">
        <v>3352</v>
      </c>
      <c r="T9" s="73">
        <v>612.1996570597488</v>
      </c>
      <c r="U9" s="1"/>
    </row>
    <row r="10" spans="1:21" x14ac:dyDescent="0.35">
      <c r="A10" t="s">
        <v>18</v>
      </c>
      <c r="B10" t="s">
        <v>28</v>
      </c>
      <c r="C10" s="1">
        <v>9</v>
      </c>
      <c r="D10" s="1" t="s">
        <v>20</v>
      </c>
      <c r="E10" s="27">
        <v>2706</v>
      </c>
      <c r="F10" s="27">
        <v>2847</v>
      </c>
      <c r="G10" s="27">
        <v>3028</v>
      </c>
      <c r="H10" s="27">
        <v>3017</v>
      </c>
      <c r="I10" s="27">
        <v>2935</v>
      </c>
      <c r="J10" s="27">
        <v>2706</v>
      </c>
      <c r="K10" s="27">
        <v>2959</v>
      </c>
      <c r="L10" s="27">
        <v>2827</v>
      </c>
      <c r="M10" s="27">
        <v>2827</v>
      </c>
      <c r="N10" s="27">
        <v>2756</v>
      </c>
      <c r="O10" s="27">
        <v>2935</v>
      </c>
      <c r="P10" s="27">
        <v>3044</v>
      </c>
      <c r="Q10" s="27">
        <v>2959</v>
      </c>
      <c r="R10" s="27">
        <v>3017</v>
      </c>
      <c r="S10" s="73">
        <v>3467</v>
      </c>
      <c r="T10" s="73">
        <v>2156.096415922224</v>
      </c>
      <c r="U10" s="1"/>
    </row>
    <row r="11" spans="1:21" x14ac:dyDescent="0.35">
      <c r="A11" t="s">
        <v>18</v>
      </c>
      <c r="B11" t="s">
        <v>47</v>
      </c>
      <c r="C11" s="1">
        <v>10</v>
      </c>
      <c r="D11" s="1" t="s">
        <v>58</v>
      </c>
      <c r="E11" s="27">
        <v>3085</v>
      </c>
      <c r="F11" s="27">
        <v>3452</v>
      </c>
      <c r="G11" s="27">
        <v>3415</v>
      </c>
      <c r="H11" s="27">
        <v>2993</v>
      </c>
      <c r="I11" s="27">
        <v>3259</v>
      </c>
      <c r="J11" s="27">
        <v>3085</v>
      </c>
      <c r="K11" s="27">
        <v>3315</v>
      </c>
      <c r="L11" s="27">
        <v>3040</v>
      </c>
      <c r="M11" s="27">
        <v>3757</v>
      </c>
      <c r="N11" s="27">
        <v>3001</v>
      </c>
      <c r="O11" s="27">
        <v>3259</v>
      </c>
      <c r="P11" s="27">
        <v>3072</v>
      </c>
      <c r="Q11" s="27">
        <v>3072</v>
      </c>
      <c r="R11" s="27">
        <v>3259</v>
      </c>
      <c r="S11" s="73">
        <v>3300</v>
      </c>
      <c r="T11" s="73">
        <v>7855.5551908876705</v>
      </c>
      <c r="U11" s="1"/>
    </row>
    <row r="12" spans="1:21" x14ac:dyDescent="0.35">
      <c r="A12" t="s">
        <v>18</v>
      </c>
      <c r="B12" t="s">
        <v>30</v>
      </c>
      <c r="C12" s="1">
        <v>11</v>
      </c>
      <c r="D12" s="1" t="s">
        <v>19</v>
      </c>
      <c r="E12" s="27">
        <v>3709</v>
      </c>
      <c r="F12" s="27">
        <v>3812</v>
      </c>
      <c r="G12" s="27">
        <v>3955</v>
      </c>
      <c r="H12" s="27">
        <v>4048</v>
      </c>
      <c r="I12" s="27">
        <v>4155</v>
      </c>
      <c r="J12" s="27">
        <v>3709</v>
      </c>
      <c r="K12" s="27">
        <v>3874</v>
      </c>
      <c r="L12" s="27">
        <v>3644</v>
      </c>
      <c r="M12" s="27">
        <v>3786</v>
      </c>
      <c r="N12" s="27">
        <v>4155</v>
      </c>
      <c r="O12" s="27">
        <v>3628</v>
      </c>
      <c r="P12" s="27">
        <v>4114</v>
      </c>
      <c r="Q12" s="27">
        <v>4155</v>
      </c>
      <c r="R12" s="27">
        <v>3644</v>
      </c>
      <c r="S12" s="73">
        <v>4227</v>
      </c>
      <c r="T12" s="73">
        <v>9003.9979626955574</v>
      </c>
      <c r="U12" s="1"/>
    </row>
    <row r="13" spans="1:21" x14ac:dyDescent="0.35">
      <c r="A13" t="s">
        <v>18</v>
      </c>
      <c r="B13" t="s">
        <v>32</v>
      </c>
      <c r="C13" s="1">
        <v>12</v>
      </c>
      <c r="D13" s="1" t="s">
        <v>19</v>
      </c>
      <c r="E13" s="27">
        <v>4297</v>
      </c>
      <c r="F13" s="27">
        <v>4172</v>
      </c>
      <c r="G13" s="27">
        <v>4543</v>
      </c>
      <c r="H13" s="27">
        <v>4298</v>
      </c>
      <c r="I13" s="27">
        <v>4047</v>
      </c>
      <c r="J13" s="27">
        <v>4317</v>
      </c>
      <c r="K13" s="27">
        <v>4297</v>
      </c>
      <c r="L13" s="27">
        <v>4132</v>
      </c>
      <c r="M13" s="27">
        <v>3902</v>
      </c>
      <c r="N13" s="27">
        <v>3924</v>
      </c>
      <c r="O13" s="27">
        <v>4748</v>
      </c>
      <c r="P13" s="27">
        <v>4807</v>
      </c>
      <c r="Q13" s="27">
        <v>4297</v>
      </c>
      <c r="R13" s="27">
        <v>4047</v>
      </c>
      <c r="S13" s="73">
        <v>4475</v>
      </c>
      <c r="T13" s="73">
        <v>3603.3702325473096</v>
      </c>
    </row>
    <row r="14" spans="1:21" x14ac:dyDescent="0.35">
      <c r="A14" t="s">
        <v>18</v>
      </c>
      <c r="C14" s="2" t="s">
        <v>21</v>
      </c>
      <c r="D14" s="2" t="s">
        <v>19</v>
      </c>
      <c r="E14" s="28"/>
      <c r="F14" s="28">
        <f>MAX(F2:F3,E12:E13)</f>
        <v>4328</v>
      </c>
      <c r="G14" s="28">
        <f t="shared" ref="G14:S14" si="0">MAX(G2:G3,F12:F13)</f>
        <v>4226</v>
      </c>
      <c r="H14" s="28">
        <f t="shared" si="0"/>
        <v>4637</v>
      </c>
      <c r="I14" s="28">
        <f t="shared" si="0"/>
        <v>4298</v>
      </c>
      <c r="J14" s="28">
        <f t="shared" si="0"/>
        <v>4155</v>
      </c>
      <c r="K14" s="28">
        <f t="shared" si="0"/>
        <v>4326</v>
      </c>
      <c r="L14" s="28">
        <f t="shared" si="0"/>
        <v>4297</v>
      </c>
      <c r="M14" s="28">
        <f t="shared" si="0"/>
        <v>4498</v>
      </c>
      <c r="N14" s="28">
        <f t="shared" si="0"/>
        <v>3902</v>
      </c>
      <c r="O14" s="28">
        <f t="shared" si="0"/>
        <v>4182</v>
      </c>
      <c r="P14" s="28">
        <f t="shared" si="0"/>
        <v>4748</v>
      </c>
      <c r="Q14" s="28">
        <f t="shared" si="0"/>
        <v>4807</v>
      </c>
      <c r="R14" s="28">
        <f t="shared" si="0"/>
        <v>4326</v>
      </c>
      <c r="S14" s="28">
        <f t="shared" si="0"/>
        <v>4175</v>
      </c>
      <c r="T14" s="28">
        <f>MAX(T2:T3,S12:S13)</f>
        <v>4475</v>
      </c>
    </row>
    <row r="15" spans="1:21" x14ac:dyDescent="0.35">
      <c r="A15" t="s">
        <v>18</v>
      </c>
      <c r="C15" s="2" t="s">
        <v>21</v>
      </c>
      <c r="D15" s="2" t="s">
        <v>20</v>
      </c>
      <c r="E15" s="28">
        <f>MAX(E7:E10)</f>
        <v>3266</v>
      </c>
      <c r="F15" s="28">
        <f>MAX(F7:F10)</f>
        <v>3204</v>
      </c>
      <c r="G15" s="28">
        <f t="shared" ref="G15:P15" si="1">MAX(G7:G10)</f>
        <v>3147</v>
      </c>
      <c r="H15" s="28">
        <f t="shared" si="1"/>
        <v>3288</v>
      </c>
      <c r="I15" s="28">
        <f t="shared" si="1"/>
        <v>4036</v>
      </c>
      <c r="J15" s="28">
        <f t="shared" si="1"/>
        <v>3266</v>
      </c>
      <c r="K15" s="28">
        <f t="shared" si="1"/>
        <v>2959</v>
      </c>
      <c r="L15" s="28">
        <f t="shared" si="1"/>
        <v>3423</v>
      </c>
      <c r="M15" s="28">
        <f t="shared" si="1"/>
        <v>3624</v>
      </c>
      <c r="N15" s="28">
        <f t="shared" si="1"/>
        <v>3286</v>
      </c>
      <c r="O15" s="28">
        <f t="shared" si="1"/>
        <v>4036</v>
      </c>
      <c r="P15" s="28">
        <f t="shared" si="1"/>
        <v>3819</v>
      </c>
      <c r="Q15" s="28">
        <f t="shared" ref="Q15:R15" si="2">MAX(Q7:Q10)</f>
        <v>3288</v>
      </c>
      <c r="R15" s="28">
        <f t="shared" si="2"/>
        <v>4036</v>
      </c>
      <c r="S15" s="28">
        <f t="shared" ref="S15" si="3">MAX(S7:S10)</f>
        <v>4128</v>
      </c>
      <c r="T15" s="28"/>
    </row>
    <row r="17" spans="2:19" x14ac:dyDescent="0.35">
      <c r="B17">
        <v>1</v>
      </c>
      <c r="C17">
        <v>2</v>
      </c>
      <c r="D17">
        <v>3</v>
      </c>
      <c r="E17">
        <v>4</v>
      </c>
      <c r="F17">
        <v>5</v>
      </c>
      <c r="G17">
        <v>6</v>
      </c>
      <c r="H17">
        <v>7</v>
      </c>
      <c r="I17">
        <v>8</v>
      </c>
      <c r="J17">
        <v>9</v>
      </c>
      <c r="K17">
        <v>10</v>
      </c>
      <c r="L17">
        <v>11</v>
      </c>
      <c r="M17">
        <v>12</v>
      </c>
      <c r="N17">
        <v>13</v>
      </c>
      <c r="O17">
        <v>14</v>
      </c>
      <c r="P17">
        <v>15</v>
      </c>
      <c r="Q17">
        <v>16</v>
      </c>
      <c r="R17">
        <v>17</v>
      </c>
      <c r="S17">
        <v>18</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DD7D-1A02-40D6-97DD-8E7F8B39BE5B}">
  <dimension ref="A1:C43"/>
  <sheetViews>
    <sheetView workbookViewId="0">
      <selection activeCell="A11" sqref="A11"/>
    </sheetView>
  </sheetViews>
  <sheetFormatPr defaultRowHeight="14.5" x14ac:dyDescent="0.35"/>
  <cols>
    <col min="1" max="1" width="6.81640625" bestFit="1" customWidth="1"/>
    <col min="2" max="2" width="84.453125" bestFit="1" customWidth="1"/>
    <col min="3" max="3" width="24.453125" bestFit="1" customWidth="1"/>
  </cols>
  <sheetData>
    <row r="1" spans="1:3" x14ac:dyDescent="0.35">
      <c r="A1" s="24" t="s">
        <v>0</v>
      </c>
      <c r="B1" s="24" t="s">
        <v>1</v>
      </c>
      <c r="C1" s="24" t="s">
        <v>15</v>
      </c>
    </row>
    <row r="2" spans="1:3" x14ac:dyDescent="0.35">
      <c r="A2" s="23" t="s">
        <v>2</v>
      </c>
      <c r="B2" s="23" t="s">
        <v>3</v>
      </c>
      <c r="C2" t="s">
        <v>41</v>
      </c>
    </row>
    <row r="3" spans="1:3" x14ac:dyDescent="0.35">
      <c r="A3" s="23" t="s">
        <v>4</v>
      </c>
      <c r="B3" s="23" t="s">
        <v>5</v>
      </c>
      <c r="C3" t="s">
        <v>42</v>
      </c>
    </row>
    <row r="4" spans="1:3" x14ac:dyDescent="0.35">
      <c r="B4" t="s">
        <v>52</v>
      </c>
    </row>
    <row r="5" spans="1:3" x14ac:dyDescent="0.35">
      <c r="B5" t="s">
        <v>48</v>
      </c>
      <c r="C5" t="s">
        <v>6</v>
      </c>
    </row>
    <row r="6" spans="1:3" x14ac:dyDescent="0.35">
      <c r="B6" t="s">
        <v>9</v>
      </c>
      <c r="C6" t="s">
        <v>7</v>
      </c>
    </row>
    <row r="7" spans="1:3" x14ac:dyDescent="0.35">
      <c r="B7" t="s">
        <v>49</v>
      </c>
      <c r="C7" t="s">
        <v>8</v>
      </c>
    </row>
    <row r="8" spans="1:3" x14ac:dyDescent="0.35">
      <c r="B8" t="s">
        <v>50</v>
      </c>
      <c r="C8" t="s">
        <v>10</v>
      </c>
    </row>
    <row r="9" spans="1:3" x14ac:dyDescent="0.35">
      <c r="B9" t="s">
        <v>51</v>
      </c>
      <c r="C9" t="s">
        <v>43</v>
      </c>
    </row>
    <row r="10" spans="1:3" x14ac:dyDescent="0.35">
      <c r="A10" s="23" t="s">
        <v>11</v>
      </c>
      <c r="B10" s="4" t="s">
        <v>76</v>
      </c>
      <c r="C10" t="s">
        <v>85</v>
      </c>
    </row>
    <row r="11" spans="1:3" x14ac:dyDescent="0.35">
      <c r="A11" s="23"/>
      <c r="B11" t="s">
        <v>52</v>
      </c>
    </row>
    <row r="12" spans="1:3" x14ac:dyDescent="0.35">
      <c r="A12" s="23"/>
      <c r="B12" t="s">
        <v>105</v>
      </c>
      <c r="C12" t="s">
        <v>106</v>
      </c>
    </row>
    <row r="13" spans="1:3" x14ac:dyDescent="0.35">
      <c r="A13" s="23"/>
      <c r="B13" t="s">
        <v>73</v>
      </c>
      <c r="C13" t="s">
        <v>77</v>
      </c>
    </row>
    <row r="14" spans="1:3" x14ac:dyDescent="0.35">
      <c r="A14" s="23"/>
      <c r="B14" t="s">
        <v>74</v>
      </c>
      <c r="C14" t="s">
        <v>78</v>
      </c>
    </row>
    <row r="15" spans="1:3" x14ac:dyDescent="0.35">
      <c r="A15" s="23"/>
      <c r="B15" t="s">
        <v>75</v>
      </c>
      <c r="C15" t="s">
        <v>79</v>
      </c>
    </row>
    <row r="16" spans="1:3" ht="29" x14ac:dyDescent="0.35">
      <c r="A16" s="23" t="s">
        <v>12</v>
      </c>
      <c r="B16" s="4" t="s">
        <v>80</v>
      </c>
      <c r="C16" t="s">
        <v>86</v>
      </c>
    </row>
    <row r="17" spans="1:3" x14ac:dyDescent="0.35">
      <c r="A17" s="23"/>
      <c r="B17" t="s">
        <v>52</v>
      </c>
    </row>
    <row r="18" spans="1:3" x14ac:dyDescent="0.35">
      <c r="A18" s="23"/>
      <c r="B18" t="s">
        <v>81</v>
      </c>
      <c r="C18" t="s">
        <v>101</v>
      </c>
    </row>
    <row r="19" spans="1:3" x14ac:dyDescent="0.35">
      <c r="A19" s="23"/>
      <c r="B19" t="s">
        <v>82</v>
      </c>
      <c r="C19" t="s">
        <v>102</v>
      </c>
    </row>
    <row r="20" spans="1:3" x14ac:dyDescent="0.35">
      <c r="A20" s="23"/>
      <c r="B20" t="s">
        <v>83</v>
      </c>
      <c r="C20" t="s">
        <v>103</v>
      </c>
    </row>
    <row r="21" spans="1:3" x14ac:dyDescent="0.35">
      <c r="A21" s="23"/>
      <c r="B21" t="s">
        <v>84</v>
      </c>
      <c r="C21" t="s">
        <v>104</v>
      </c>
    </row>
    <row r="22" spans="1:3" ht="29" x14ac:dyDescent="0.35">
      <c r="A22" s="23" t="s">
        <v>14</v>
      </c>
      <c r="B22" s="4" t="s">
        <v>99</v>
      </c>
      <c r="C22" t="s">
        <v>100</v>
      </c>
    </row>
    <row r="23" spans="1:3" x14ac:dyDescent="0.35">
      <c r="A23" s="103">
        <v>5.0999999999999996</v>
      </c>
      <c r="B23" s="102" t="s">
        <v>87</v>
      </c>
      <c r="C23" t="s">
        <v>88</v>
      </c>
    </row>
    <row r="24" spans="1:3" x14ac:dyDescent="0.35">
      <c r="A24" s="23">
        <v>5.2</v>
      </c>
      <c r="B24" s="102" t="s">
        <v>97</v>
      </c>
    </row>
    <row r="25" spans="1:3" x14ac:dyDescent="0.35">
      <c r="A25" s="23"/>
      <c r="B25" t="s">
        <v>89</v>
      </c>
      <c r="C25" t="s">
        <v>93</v>
      </c>
    </row>
    <row r="26" spans="1:3" x14ac:dyDescent="0.35">
      <c r="A26" s="23"/>
      <c r="B26" t="s">
        <v>90</v>
      </c>
      <c r="C26" t="s">
        <v>94</v>
      </c>
    </row>
    <row r="27" spans="1:3" x14ac:dyDescent="0.35">
      <c r="A27" s="23"/>
      <c r="B27" t="s">
        <v>91</v>
      </c>
      <c r="C27" t="s">
        <v>95</v>
      </c>
    </row>
    <row r="28" spans="1:3" x14ac:dyDescent="0.35">
      <c r="A28" s="23"/>
      <c r="B28" t="s">
        <v>92</v>
      </c>
      <c r="C28" t="s">
        <v>96</v>
      </c>
    </row>
    <row r="29" spans="1:3" ht="29" x14ac:dyDescent="0.35">
      <c r="A29" s="23" t="s">
        <v>98</v>
      </c>
      <c r="B29" s="25" t="s">
        <v>107</v>
      </c>
      <c r="C29" t="s">
        <v>56</v>
      </c>
    </row>
    <row r="30" spans="1:3" x14ac:dyDescent="0.35">
      <c r="A30" s="23"/>
      <c r="B30" s="4"/>
    </row>
    <row r="31" spans="1:3" x14ac:dyDescent="0.35">
      <c r="B31" s="50"/>
    </row>
    <row r="32" spans="1:3" x14ac:dyDescent="0.35">
      <c r="B32" s="51"/>
    </row>
    <row r="33" spans="1:3" x14ac:dyDescent="0.35">
      <c r="A33" s="71"/>
      <c r="B33" s="72" t="s">
        <v>57</v>
      </c>
      <c r="C33" s="71"/>
    </row>
    <row r="34" spans="1:3" ht="29" x14ac:dyDescent="0.35">
      <c r="B34" s="26" t="s">
        <v>72</v>
      </c>
    </row>
    <row r="37" spans="1:3" x14ac:dyDescent="0.35">
      <c r="B37" s="23"/>
    </row>
    <row r="43" spans="1:3" x14ac:dyDescent="0.35">
      <c r="B43" s="23"/>
    </row>
  </sheetData>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0F232-98DD-4920-AABD-D3ADF600252D}">
  <dimension ref="A1:N6"/>
  <sheetViews>
    <sheetView tabSelected="1" topLeftCell="C1" workbookViewId="0">
      <selection activeCell="L23" sqref="L23"/>
    </sheetView>
  </sheetViews>
  <sheetFormatPr defaultColWidth="10.1796875" defaultRowHeight="14.5" x14ac:dyDescent="0.35"/>
  <cols>
    <col min="1" max="1" width="12.453125" customWidth="1"/>
    <col min="13" max="13" width="14.26953125" customWidth="1"/>
    <col min="14" max="14" width="15.08984375" customWidth="1"/>
  </cols>
  <sheetData>
    <row r="1" spans="1:14" ht="89.15" customHeight="1" x14ac:dyDescent="0.35">
      <c r="B1" s="36" t="s">
        <v>22</v>
      </c>
      <c r="C1" s="37" t="s">
        <v>23</v>
      </c>
      <c r="D1" s="38">
        <v>2021</v>
      </c>
      <c r="E1" s="38">
        <v>2022</v>
      </c>
      <c r="F1" s="38">
        <v>2023</v>
      </c>
      <c r="G1" s="38">
        <v>2024</v>
      </c>
      <c r="H1" s="38">
        <v>2025</v>
      </c>
      <c r="I1" s="87" t="s">
        <v>68</v>
      </c>
      <c r="J1" s="88" t="s">
        <v>69</v>
      </c>
      <c r="K1" s="88" t="s">
        <v>70</v>
      </c>
      <c r="L1" s="89" t="s">
        <v>71</v>
      </c>
      <c r="M1" s="86" t="s">
        <v>40</v>
      </c>
      <c r="N1" s="32" t="s">
        <v>39</v>
      </c>
    </row>
    <row r="2" spans="1:14" x14ac:dyDescent="0.35">
      <c r="B2" s="40" t="s">
        <v>24</v>
      </c>
      <c r="C2" s="44" t="s">
        <v>25</v>
      </c>
      <c r="D2" s="41">
        <f>HLOOKUP($D$1,'Load Data'!$E$1:$T$13,7)</f>
        <v>4036</v>
      </c>
      <c r="E2" s="41">
        <f>HLOOKUP(E1,'Load Data'!$E$1:$T$13,7)</f>
        <v>3478</v>
      </c>
      <c r="F2" s="41">
        <f>HLOOKUP(F1,'Load Data'!$E$1:$T$13,7)</f>
        <v>3225</v>
      </c>
      <c r="G2" s="41">
        <f>HLOOKUP(G1,'Load Data'!$E$1:$T$13,7)</f>
        <v>4036</v>
      </c>
      <c r="H2" s="41">
        <f>HLOOKUP(H1,'Load Data'!$E$1:$T$13,7)</f>
        <v>4128</v>
      </c>
      <c r="I2" s="90">
        <f>AVERAGE(D2:H2)</f>
        <v>3780.6</v>
      </c>
      <c r="J2" s="91">
        <f>MAX(I2:I5)</f>
        <v>3780.6</v>
      </c>
      <c r="K2" s="96">
        <f>MEDIAN(D6:H6)</f>
        <v>4036</v>
      </c>
      <c r="L2" s="97">
        <f>I2/$J$2</f>
        <v>1</v>
      </c>
      <c r="M2" s="84">
        <f>$K$2*L2</f>
        <v>4036</v>
      </c>
      <c r="N2" s="33">
        <f>M2*1.011*1.011</f>
        <v>4125.2803559999993</v>
      </c>
    </row>
    <row r="3" spans="1:14" ht="14.5" customHeight="1" x14ac:dyDescent="0.35">
      <c r="A3" s="26"/>
      <c r="B3" s="29" t="s">
        <v>26</v>
      </c>
      <c r="C3" s="45" t="s">
        <v>25</v>
      </c>
      <c r="D3" s="17">
        <f>HLOOKUP(D$1,'Load Data'!$E$1:$T$13,8)</f>
        <v>3470</v>
      </c>
      <c r="E3" s="17">
        <f>HLOOKUP(E$1,'Load Data'!$E$1:$T$13,8)</f>
        <v>3819</v>
      </c>
      <c r="F3" s="17">
        <f>HLOOKUP(F$1,'Load Data'!$E$1:$T$13,8)</f>
        <v>2795</v>
      </c>
      <c r="G3" s="17">
        <f>HLOOKUP(G$1,'Load Data'!$E$1:$T$13,8)</f>
        <v>3407</v>
      </c>
      <c r="H3" s="17">
        <f>HLOOKUP(H$1,'Load Data'!$E$1:$T$13,8)</f>
        <v>3856</v>
      </c>
      <c r="I3" s="92">
        <f t="shared" ref="I3:I5" si="0">AVERAGE(D3:H3)</f>
        <v>3469.4</v>
      </c>
      <c r="J3" s="93"/>
      <c r="K3" s="98"/>
      <c r="L3" s="99">
        <f t="shared" ref="L3:L5" si="1">I3/$J$2</f>
        <v>0.91768502354123693</v>
      </c>
      <c r="M3" s="83">
        <f>$K$2*L3</f>
        <v>3703.7767550124322</v>
      </c>
      <c r="N3" s="34">
        <f>M3*1.011*1.011</f>
        <v>3785.7080006100614</v>
      </c>
    </row>
    <row r="4" spans="1:14" x14ac:dyDescent="0.35">
      <c r="A4" s="26"/>
      <c r="B4" s="29" t="s">
        <v>27</v>
      </c>
      <c r="C4" s="45" t="s">
        <v>25</v>
      </c>
      <c r="D4" s="17">
        <f>HLOOKUP(D$1,'Load Data'!$E$1:$T$13,9)</f>
        <v>3729</v>
      </c>
      <c r="E4" s="17">
        <f>HLOOKUP(E$1,'Load Data'!$E$1:$T$13,9)</f>
        <v>3597</v>
      </c>
      <c r="F4" s="17">
        <f>HLOOKUP(F$1,'Load Data'!$E$1:$T$13,9)</f>
        <v>3288</v>
      </c>
      <c r="G4" s="17">
        <f>HLOOKUP(G$1,'Load Data'!$E$1:$T$13,9)</f>
        <v>3288</v>
      </c>
      <c r="H4" s="17">
        <f>HLOOKUP(H$1,'Load Data'!$E$1:$T$13,9)</f>
        <v>3352</v>
      </c>
      <c r="I4" s="92">
        <f t="shared" si="0"/>
        <v>3450.8</v>
      </c>
      <c r="J4" s="93"/>
      <c r="K4" s="98"/>
      <c r="L4" s="99">
        <f t="shared" si="1"/>
        <v>0.91276516954980702</v>
      </c>
      <c r="M4" s="83">
        <f t="shared" ref="M3:M5" si="2">$K$2*L4</f>
        <v>3683.9202243030213</v>
      </c>
      <c r="N4" s="34">
        <f t="shared" ref="N4:N5" si="3">M4*1.011*1.011</f>
        <v>3765.4122235848276</v>
      </c>
    </row>
    <row r="5" spans="1:14" x14ac:dyDescent="0.35">
      <c r="A5" s="30"/>
      <c r="B5" s="42" t="s">
        <v>28</v>
      </c>
      <c r="C5" s="46" t="s">
        <v>25</v>
      </c>
      <c r="D5" s="43">
        <f>HLOOKUP(D$1,'Load Data'!$E$1:$T$13,10)</f>
        <v>2935</v>
      </c>
      <c r="E5" s="43">
        <f>HLOOKUP(E$1,'Load Data'!$E$1:$T$13,10)</f>
        <v>3044</v>
      </c>
      <c r="F5" s="43">
        <f>HLOOKUP(F$1,'Load Data'!$E$1:$T$13,10)</f>
        <v>2959</v>
      </c>
      <c r="G5" s="43">
        <f>HLOOKUP(G$1,'Load Data'!$E$1:$T$13,10)</f>
        <v>3017</v>
      </c>
      <c r="H5" s="43">
        <f>HLOOKUP(H$1,'Load Data'!$E$1:$T$13,10)</f>
        <v>3467</v>
      </c>
      <c r="I5" s="94">
        <f t="shared" si="0"/>
        <v>3084.4</v>
      </c>
      <c r="J5" s="95"/>
      <c r="K5" s="100"/>
      <c r="L5" s="101">
        <f t="shared" si="1"/>
        <v>0.8158493360842195</v>
      </c>
      <c r="M5" s="85">
        <f t="shared" si="2"/>
        <v>3292.7679204359101</v>
      </c>
      <c r="N5" s="35">
        <f t="shared" si="3"/>
        <v>3365.6072396038721</v>
      </c>
    </row>
    <row r="6" spans="1:14" x14ac:dyDescent="0.35">
      <c r="C6" s="5" t="s">
        <v>29</v>
      </c>
      <c r="D6" s="22">
        <f>MAX(D2:D5)</f>
        <v>4036</v>
      </c>
      <c r="E6" s="22">
        <f>MAX(E2:E5)</f>
        <v>3819</v>
      </c>
      <c r="F6" s="22">
        <f>MAX(F2:F5)</f>
        <v>3288</v>
      </c>
      <c r="G6" s="22">
        <f>MAX(G2:G5)</f>
        <v>4036</v>
      </c>
      <c r="H6" s="22">
        <f>MAX(H2:H5)</f>
        <v>4128</v>
      </c>
      <c r="I6" s="22"/>
      <c r="J6" s="22"/>
      <c r="K6" s="22"/>
      <c r="L6"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E47A5-C971-4BE0-9AF3-75740136DDFC}">
  <dimension ref="A1:C25"/>
  <sheetViews>
    <sheetView workbookViewId="0">
      <selection activeCell="B26" sqref="B26"/>
    </sheetView>
  </sheetViews>
  <sheetFormatPr defaultRowHeight="14.5" x14ac:dyDescent="0.35"/>
  <cols>
    <col min="1" max="1" width="6.81640625" bestFit="1" customWidth="1"/>
    <col min="2" max="2" width="84.453125" bestFit="1" customWidth="1"/>
    <col min="3" max="3" width="24.453125" bestFit="1" customWidth="1"/>
  </cols>
  <sheetData>
    <row r="1" spans="1:3" x14ac:dyDescent="0.35">
      <c r="A1" s="24" t="s">
        <v>0</v>
      </c>
      <c r="B1" s="24" t="s">
        <v>1</v>
      </c>
      <c r="C1" s="24" t="s">
        <v>15</v>
      </c>
    </row>
    <row r="2" spans="1:3" x14ac:dyDescent="0.35">
      <c r="A2" s="23" t="s">
        <v>2</v>
      </c>
      <c r="B2" s="23" t="s">
        <v>16</v>
      </c>
      <c r="C2" t="s">
        <v>41</v>
      </c>
    </row>
    <row r="3" spans="1:3" x14ac:dyDescent="0.35">
      <c r="A3" s="23" t="s">
        <v>4</v>
      </c>
      <c r="B3" s="23" t="s">
        <v>5</v>
      </c>
      <c r="C3" t="s">
        <v>42</v>
      </c>
    </row>
    <row r="4" spans="1:3" x14ac:dyDescent="0.35">
      <c r="B4" t="s">
        <v>52</v>
      </c>
    </row>
    <row r="5" spans="1:3" x14ac:dyDescent="0.35">
      <c r="B5" t="str">
        <f>_xlfn.CONCAT('W27-28 Forecast'!$D$1," - ", TEXT('W27-28 Forecast'!$D$6, "#,##0")," MW")</f>
        <v>2021/2022 - 4,748 MW</v>
      </c>
      <c r="C5" t="s">
        <v>6</v>
      </c>
    </row>
    <row r="6" spans="1:3" x14ac:dyDescent="0.35">
      <c r="B6" t="str">
        <f>_xlfn.CONCAT('W27-28 Forecast'!$E$1," - ", TEXT('W27-28 Forecast'!$E$6, "#,##0")," MW")</f>
        <v>2022/2023 - 4,807 MW</v>
      </c>
      <c r="C6" t="s">
        <v>7</v>
      </c>
    </row>
    <row r="7" spans="1:3" x14ac:dyDescent="0.35">
      <c r="B7" t="str">
        <f>_xlfn.CONCAT('W27-28 Forecast'!$F$1," - ", TEXT('W27-28 Forecast'!$F$6, "#,##0")," MW")</f>
        <v>2023/2024 - 4,326 MW</v>
      </c>
      <c r="C7" t="s">
        <v>8</v>
      </c>
    </row>
    <row r="8" spans="1:3" x14ac:dyDescent="0.35">
      <c r="B8" t="str">
        <f>_xlfn.CONCAT('W27-28 Forecast'!$G$1," - ", TEXT('W27-28 Forecast'!$G$6, "#,##0")," MW")</f>
        <v>2024/2025 - 4,175 MW</v>
      </c>
      <c r="C8" t="s">
        <v>10</v>
      </c>
    </row>
    <row r="9" spans="1:3" x14ac:dyDescent="0.35">
      <c r="B9" t="str">
        <f>_xlfn.CONCAT('W27-28 Forecast'!$H$1," - ", TEXT('W27-28 Forecast'!$H$6, "#,##0")," MW")</f>
        <v>2025/2026 - 4,475 MW</v>
      </c>
      <c r="C9" t="s">
        <v>43</v>
      </c>
    </row>
    <row r="10" spans="1:3" ht="29" x14ac:dyDescent="0.35">
      <c r="A10" s="23" t="s">
        <v>11</v>
      </c>
      <c r="B10" s="4" t="s">
        <v>55</v>
      </c>
      <c r="C10" t="s">
        <v>17</v>
      </c>
    </row>
    <row r="11" spans="1:3" x14ac:dyDescent="0.35">
      <c r="B11" t="str">
        <f>_xlfn.CONCAT("In this example, the Winter Peak P50 is ",TEXT('W27-28 Forecast'!$I$3, "#,##0")," MW")</f>
        <v>In this example, the Winter Peak P50 is 4,475 MW</v>
      </c>
      <c r="C11" t="s">
        <v>17</v>
      </c>
    </row>
    <row r="12" spans="1:3" ht="29" x14ac:dyDescent="0.35">
      <c r="A12" s="23" t="s">
        <v>12</v>
      </c>
      <c r="B12" s="4" t="s">
        <v>53</v>
      </c>
      <c r="C12" t="s">
        <v>13</v>
      </c>
    </row>
    <row r="13" spans="1:3" x14ac:dyDescent="0.35">
      <c r="B13" t="str">
        <f>_xlfn.CONCAT("In this example, the November P50 is ",TEXT('W27-28 Forecast'!$I$2,"#,##0")," MW")</f>
        <v>In this example, the November P50 is 4,114 MW</v>
      </c>
      <c r="C13" t="s">
        <v>13</v>
      </c>
    </row>
    <row r="14" spans="1:3" ht="29" x14ac:dyDescent="0.35">
      <c r="A14" s="23" t="s">
        <v>14</v>
      </c>
      <c r="B14" s="25" t="s">
        <v>107</v>
      </c>
      <c r="C14" t="s">
        <v>56</v>
      </c>
    </row>
    <row r="18" spans="1:3" x14ac:dyDescent="0.35">
      <c r="A18" s="69"/>
      <c r="B18" s="70" t="s">
        <v>57</v>
      </c>
      <c r="C18" s="69"/>
    </row>
    <row r="19" spans="1:3" ht="29" x14ac:dyDescent="0.35">
      <c r="B19" s="68" t="s">
        <v>66</v>
      </c>
    </row>
    <row r="20" spans="1:3" ht="29" x14ac:dyDescent="0.35">
      <c r="B20" s="68" t="s">
        <v>67</v>
      </c>
    </row>
    <row r="25" spans="1:3" x14ac:dyDescent="0.35">
      <c r="B25"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48418-945F-4567-96EE-4DE7736A83FD}">
  <dimension ref="A1:J14"/>
  <sheetViews>
    <sheetView workbookViewId="0">
      <selection activeCell="H15" sqref="H15"/>
    </sheetView>
  </sheetViews>
  <sheetFormatPr defaultColWidth="10.1796875" defaultRowHeight="14.5" x14ac:dyDescent="0.35"/>
  <cols>
    <col min="1" max="1" width="12.453125" customWidth="1"/>
    <col min="9" max="9" width="14.26953125" customWidth="1"/>
    <col min="10" max="10" width="11.81640625" customWidth="1"/>
  </cols>
  <sheetData>
    <row r="1" spans="1:10" ht="89.15" customHeight="1" thickBot="1" x14ac:dyDescent="0.4">
      <c r="B1" s="52" t="s">
        <v>22</v>
      </c>
      <c r="C1" s="6" t="s">
        <v>23</v>
      </c>
      <c r="D1" s="6" t="str">
        <f>_xlfn.CONCAT(D13,"/",D14)</f>
        <v>2021/2022</v>
      </c>
      <c r="E1" s="6" t="str">
        <f t="shared" ref="E1:H1" si="0">_xlfn.CONCAT(E13,"/",E14)</f>
        <v>2022/2023</v>
      </c>
      <c r="F1" s="6" t="str">
        <f t="shared" si="0"/>
        <v>2023/2024</v>
      </c>
      <c r="G1" s="6" t="str">
        <f t="shared" si="0"/>
        <v>2024/2025</v>
      </c>
      <c r="H1" s="6" t="str">
        <f t="shared" si="0"/>
        <v>2025/2026</v>
      </c>
      <c r="I1" s="7" t="s">
        <v>37</v>
      </c>
      <c r="J1" s="7" t="s">
        <v>38</v>
      </c>
    </row>
    <row r="2" spans="1:10" ht="15" thickBot="1" x14ac:dyDescent="0.4">
      <c r="A2" s="9"/>
      <c r="B2" s="53" t="s">
        <v>30</v>
      </c>
      <c r="C2" s="8" t="s">
        <v>31</v>
      </c>
      <c r="D2" s="57">
        <f>HLOOKUP(D13,'Load Data'!$B$1:$S$13,12)</f>
        <v>3628</v>
      </c>
      <c r="E2" s="57">
        <f>HLOOKUP(E13,'Load Data'!$B$1:$S$13,12)</f>
        <v>4114</v>
      </c>
      <c r="F2" s="57">
        <f>HLOOKUP(F13,'Load Data'!$B$1:$S$13,12)</f>
        <v>4155</v>
      </c>
      <c r="G2" s="57">
        <f>HLOOKUP(G13,'Load Data'!$B$1:$S$13,12)</f>
        <v>3644</v>
      </c>
      <c r="H2" s="57">
        <f>HLOOKUP(H13,'Load Data'!$B$1:$T$13,12)</f>
        <v>4227</v>
      </c>
      <c r="I2" s="12">
        <f>MEDIAN(D2:H2)</f>
        <v>4114</v>
      </c>
      <c r="J2" s="13">
        <f>I2*1.011*1.011</f>
        <v>4205.0057939999997</v>
      </c>
    </row>
    <row r="3" spans="1:10" x14ac:dyDescent="0.35">
      <c r="A3" s="74" t="s">
        <v>36</v>
      </c>
      <c r="B3" s="54" t="s">
        <v>32</v>
      </c>
      <c r="C3" s="10" t="s">
        <v>31</v>
      </c>
      <c r="D3" s="14">
        <f>HLOOKUP(D13,'Load Data'!$B$1:$S$13,13)</f>
        <v>4748</v>
      </c>
      <c r="E3" s="14">
        <f>HLOOKUP(E13,'Load Data'!$B$1:$S$13,13)</f>
        <v>4807</v>
      </c>
      <c r="F3" s="14">
        <f>HLOOKUP(F13,'Load Data'!$B$1:$S$13,13)</f>
        <v>4297</v>
      </c>
      <c r="G3" s="14">
        <f>HLOOKUP(G13,'Load Data'!$B$1:$S$13,13)</f>
        <v>4047</v>
      </c>
      <c r="H3" s="14">
        <f>HLOOKUP(H13,'Load Data'!$B$1:$T$13,13)</f>
        <v>4475</v>
      </c>
      <c r="I3" s="15">
        <f>MEDIAN($D$6:$H$6)</f>
        <v>4475</v>
      </c>
      <c r="J3" s="16">
        <f>I3*1.011*1.011</f>
        <v>4573.9914749999989</v>
      </c>
    </row>
    <row r="4" spans="1:10" x14ac:dyDescent="0.35">
      <c r="A4" s="75"/>
      <c r="B4" s="55" t="s">
        <v>33</v>
      </c>
      <c r="C4" s="1" t="s">
        <v>31</v>
      </c>
      <c r="D4" s="17">
        <f>HLOOKUP(D14,'Load Data'!$B$1:$S$13,2)</f>
        <v>4187</v>
      </c>
      <c r="E4" s="17">
        <f>HLOOKUP(E14,'Load Data'!$B$1:$S$13,2)</f>
        <v>3973</v>
      </c>
      <c r="F4" s="17">
        <f>HLOOKUP(F14,'Load Data'!$B$1:$S$13,2)</f>
        <v>4326</v>
      </c>
      <c r="G4" s="17">
        <f>HLOOKUP(G14,'Load Data'!$B$1:$S$13,2)</f>
        <v>4162</v>
      </c>
      <c r="H4" s="17">
        <f>HLOOKUP(H14,'Load Data'!$B$1:$T$13,2)</f>
        <v>4235</v>
      </c>
      <c r="I4" s="18">
        <f>MEDIAN($D$6:$H$6)</f>
        <v>4475</v>
      </c>
      <c r="J4" s="19">
        <f t="shared" ref="J4:J5" si="1">I4*1.011*1.011</f>
        <v>4573.9914749999989</v>
      </c>
    </row>
    <row r="5" spans="1:10" ht="15" thickBot="1" x14ac:dyDescent="0.4">
      <c r="A5" s="76"/>
      <c r="B5" s="56" t="s">
        <v>34</v>
      </c>
      <c r="C5" s="8" t="s">
        <v>31</v>
      </c>
      <c r="D5" s="11">
        <f>HLOOKUP(D14,'Load Data'!$B$1:$S$13,3)</f>
        <v>4323</v>
      </c>
      <c r="E5" s="11">
        <f>HLOOKUP(E14,'Load Data'!$B$1:$S$13,3)</f>
        <v>4206</v>
      </c>
      <c r="F5" s="11">
        <f>HLOOKUP(F14,'Load Data'!$B$1:$S$13,3)</f>
        <v>3997</v>
      </c>
      <c r="G5" s="11">
        <f>HLOOKUP(G14,'Load Data'!$B$1:$S$13,3)</f>
        <v>4175</v>
      </c>
      <c r="H5" s="11">
        <f>HLOOKUP(H14,'Load Data'!$B$1:$T$13,3)</f>
        <v>4126</v>
      </c>
      <c r="I5" s="20">
        <f>MEDIAN($D$6:$H$6)</f>
        <v>4475</v>
      </c>
      <c r="J5" s="21">
        <f t="shared" si="1"/>
        <v>4573.9914749999989</v>
      </c>
    </row>
    <row r="6" spans="1:10" x14ac:dyDescent="0.35">
      <c r="C6" s="5" t="s">
        <v>29</v>
      </c>
      <c r="D6" s="22">
        <f>MAX(D2:D5)</f>
        <v>4748</v>
      </c>
      <c r="E6" s="22">
        <f>MAX(E2:E5)</f>
        <v>4807</v>
      </c>
      <c r="F6" s="22">
        <f>MAX(F2:F5)</f>
        <v>4326</v>
      </c>
      <c r="G6" s="22">
        <f>MAX(G2:G5)</f>
        <v>4175</v>
      </c>
      <c r="H6" s="22">
        <f>MAX(H2:H5)</f>
        <v>4475</v>
      </c>
    </row>
    <row r="12" spans="1:10" hidden="1" x14ac:dyDescent="0.35">
      <c r="C12" s="77" t="s">
        <v>61</v>
      </c>
      <c r="D12" s="78"/>
      <c r="E12" s="78"/>
      <c r="F12" s="78"/>
      <c r="G12" s="78"/>
      <c r="H12" s="79"/>
    </row>
    <row r="13" spans="1:10" hidden="1" x14ac:dyDescent="0.35">
      <c r="C13" s="58" t="s">
        <v>59</v>
      </c>
      <c r="D13" s="60">
        <v>2021</v>
      </c>
      <c r="E13" s="60">
        <f>D14</f>
        <v>2022</v>
      </c>
      <c r="F13" s="60">
        <f t="shared" ref="F13:H13" si="2">E14</f>
        <v>2023</v>
      </c>
      <c r="G13" s="60">
        <f t="shared" si="2"/>
        <v>2024</v>
      </c>
      <c r="H13" s="61">
        <f t="shared" si="2"/>
        <v>2025</v>
      </c>
    </row>
    <row r="14" spans="1:10" hidden="1" x14ac:dyDescent="0.35">
      <c r="C14" s="59" t="s">
        <v>60</v>
      </c>
      <c r="D14" s="62">
        <v>2022</v>
      </c>
      <c r="E14" s="62">
        <f>E13+1</f>
        <v>2023</v>
      </c>
      <c r="F14" s="62">
        <f t="shared" ref="F14:H14" si="3">F13+1</f>
        <v>2024</v>
      </c>
      <c r="G14" s="62">
        <f t="shared" si="3"/>
        <v>2025</v>
      </c>
      <c r="H14" s="63">
        <f t="shared" si="3"/>
        <v>2026</v>
      </c>
    </row>
  </sheetData>
  <mergeCells count="2">
    <mergeCell ref="A3:A5"/>
    <mergeCell ref="C12:H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9907-1468-4DC0-A01B-6F859BFB9F0B}">
  <dimension ref="A1:C25"/>
  <sheetViews>
    <sheetView workbookViewId="0">
      <selection activeCell="B22" sqref="B22"/>
    </sheetView>
  </sheetViews>
  <sheetFormatPr defaultRowHeight="14.5" x14ac:dyDescent="0.35"/>
  <cols>
    <col min="1" max="1" width="6.81640625" bestFit="1" customWidth="1"/>
    <col min="2" max="2" width="84.453125" bestFit="1" customWidth="1"/>
    <col min="3" max="3" width="24.453125" bestFit="1" customWidth="1"/>
  </cols>
  <sheetData>
    <row r="1" spans="1:3" x14ac:dyDescent="0.35">
      <c r="A1" s="24" t="s">
        <v>0</v>
      </c>
      <c r="B1" s="24" t="s">
        <v>1</v>
      </c>
      <c r="C1" s="24" t="s">
        <v>15</v>
      </c>
    </row>
    <row r="2" spans="1:3" x14ac:dyDescent="0.35">
      <c r="A2" s="23" t="s">
        <v>2</v>
      </c>
      <c r="B2" s="23" t="s">
        <v>16</v>
      </c>
      <c r="C2" t="s">
        <v>41</v>
      </c>
    </row>
    <row r="3" spans="1:3" x14ac:dyDescent="0.35">
      <c r="A3" s="23" t="s">
        <v>4</v>
      </c>
      <c r="B3" s="23" t="s">
        <v>5</v>
      </c>
      <c r="C3" t="s">
        <v>42</v>
      </c>
    </row>
    <row r="4" spans="1:3" x14ac:dyDescent="0.35">
      <c r="B4" t="s">
        <v>52</v>
      </c>
    </row>
    <row r="5" spans="1:3" x14ac:dyDescent="0.35">
      <c r="B5" t="str">
        <f>_xlfn.CONCAT('S28 Forecast'!D1," - ", TEXT('S28 Forecast'!D6, "#,##0")," MW")</f>
        <v>2022 - 3,819 MW</v>
      </c>
      <c r="C5" t="s">
        <v>6</v>
      </c>
    </row>
    <row r="6" spans="1:3" x14ac:dyDescent="0.35">
      <c r="B6" t="str">
        <f>_xlfn.CONCAT('S28 Forecast'!E1," - ", TEXT('S28 Forecast'!E6, "#,##0")," MW")</f>
        <v>2023 - 3,288 MW</v>
      </c>
      <c r="C6" t="s">
        <v>7</v>
      </c>
    </row>
    <row r="7" spans="1:3" x14ac:dyDescent="0.35">
      <c r="B7" t="str">
        <f>_xlfn.CONCAT('S28 Forecast'!F1," - ", TEXT('S28 Forecast'!F6, "#,##0")," MW")</f>
        <v>2024 - 4,036 MW</v>
      </c>
      <c r="C7" t="s">
        <v>8</v>
      </c>
    </row>
    <row r="8" spans="1:3" x14ac:dyDescent="0.35">
      <c r="B8" t="str">
        <f>_xlfn.CONCAT('S28 Forecast'!G1," - ", TEXT('S28 Forecast'!G6, "#,##0")," MW")</f>
        <v>2025 - 4,128 MW</v>
      </c>
      <c r="C8" t="s">
        <v>10</v>
      </c>
    </row>
    <row r="9" spans="1:3" x14ac:dyDescent="0.35">
      <c r="B9" t="str">
        <f>_xlfn.CONCAT('S28 Forecast'!H1," - ", TEXT('S28 Forecast'!H6, "#,##0")," MW")</f>
        <v>2026 - 7,162 MW</v>
      </c>
      <c r="C9" t="s">
        <v>43</v>
      </c>
    </row>
    <row r="10" spans="1:3" ht="29" x14ac:dyDescent="0.35">
      <c r="A10" s="23" t="s">
        <v>11</v>
      </c>
      <c r="B10" s="4" t="s">
        <v>55</v>
      </c>
      <c r="C10" t="s">
        <v>17</v>
      </c>
    </row>
    <row r="11" spans="1:3" x14ac:dyDescent="0.35">
      <c r="B11" t="str">
        <f>_xlfn.CONCAT("In this example, the Summer Peak P50 is ",TEXT('S28 Forecast'!$I$2, "#,##0"), " MW")</f>
        <v>In this example, the Summer Peak P50 is 4,036 MW</v>
      </c>
      <c r="C11" t="s">
        <v>17</v>
      </c>
    </row>
    <row r="12" spans="1:3" ht="29" x14ac:dyDescent="0.35">
      <c r="A12" s="23" t="s">
        <v>12</v>
      </c>
      <c r="B12" s="4" t="s">
        <v>65</v>
      </c>
      <c r="C12" t="s">
        <v>13</v>
      </c>
    </row>
    <row r="13" spans="1:3" x14ac:dyDescent="0.35">
      <c r="B13" t="str">
        <f>_xlfn.CONCAT("In this example, the September P50 is ",TEXT('S28 Forecast'!$I$5,"#,##0")," MW")</f>
        <v>In this example, the September P50 is 3,017 MW</v>
      </c>
      <c r="C13" t="s">
        <v>13</v>
      </c>
    </row>
    <row r="14" spans="1:3" ht="29" x14ac:dyDescent="0.35">
      <c r="A14" s="23" t="s">
        <v>14</v>
      </c>
      <c r="B14" s="25" t="s">
        <v>107</v>
      </c>
      <c r="C14" t="s">
        <v>56</v>
      </c>
    </row>
    <row r="18" spans="1:3" x14ac:dyDescent="0.35">
      <c r="B18" s="23"/>
    </row>
    <row r="21" spans="1:3" x14ac:dyDescent="0.35">
      <c r="A21" s="71"/>
      <c r="B21" s="72" t="s">
        <v>57</v>
      </c>
      <c r="C21" s="71"/>
    </row>
    <row r="22" spans="1:3" ht="29" x14ac:dyDescent="0.35">
      <c r="B22" s="26" t="s">
        <v>72</v>
      </c>
    </row>
    <row r="25" spans="1:3" x14ac:dyDescent="0.35">
      <c r="B25"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0AF65-65F4-4115-B9AD-E2ADFAA46D9A}">
  <dimension ref="A1:J6"/>
  <sheetViews>
    <sheetView workbookViewId="0">
      <selection activeCell="A2" sqref="A2:A4"/>
    </sheetView>
  </sheetViews>
  <sheetFormatPr defaultColWidth="10.1796875" defaultRowHeight="14.5" x14ac:dyDescent="0.35"/>
  <cols>
    <col min="1" max="1" width="12.453125" customWidth="1"/>
    <col min="9" max="9" width="14.26953125" customWidth="1"/>
    <col min="10" max="10" width="15.08984375" customWidth="1"/>
  </cols>
  <sheetData>
    <row r="1" spans="1:10" ht="89.15" customHeight="1" thickBot="1" x14ac:dyDescent="0.4">
      <c r="B1" s="36" t="s">
        <v>22</v>
      </c>
      <c r="C1" s="37" t="s">
        <v>23</v>
      </c>
      <c r="D1" s="38">
        <v>2022</v>
      </c>
      <c r="E1" s="38">
        <v>2023</v>
      </c>
      <c r="F1" s="38">
        <v>2024</v>
      </c>
      <c r="G1" s="38">
        <v>2025</v>
      </c>
      <c r="H1" s="39">
        <v>2026</v>
      </c>
      <c r="I1" s="31" t="s">
        <v>62</v>
      </c>
      <c r="J1" s="32" t="s">
        <v>63</v>
      </c>
    </row>
    <row r="2" spans="1:10" x14ac:dyDescent="0.35">
      <c r="A2" s="80" t="s">
        <v>64</v>
      </c>
      <c r="B2" s="65" t="s">
        <v>24</v>
      </c>
      <c r="C2" s="10" t="s">
        <v>25</v>
      </c>
      <c r="D2" s="14">
        <f>HLOOKUP($D$1,'Load Data'!$E$1:$T$13,7)</f>
        <v>3478</v>
      </c>
      <c r="E2" s="14">
        <f>HLOOKUP(E1,'Load Data'!$E$1:$T$13,7)</f>
        <v>3225</v>
      </c>
      <c r="F2" s="14">
        <f>HLOOKUP(F1,'Load Data'!$E$1:$T$13,7)</f>
        <v>4036</v>
      </c>
      <c r="G2" s="14">
        <f>HLOOKUP(G1,'Load Data'!$E$1:$T$13,7)</f>
        <v>4128</v>
      </c>
      <c r="H2" s="14">
        <f>HLOOKUP(H1,'Load Data'!$E$1:$T$13,7)</f>
        <v>7162.0956234625355</v>
      </c>
      <c r="I2" s="47">
        <f>MAX(MEDIAN($D$6:$H$6))</f>
        <v>4036</v>
      </c>
      <c r="J2" s="16">
        <f>I2*1.011*1.011</f>
        <v>4125.2803559999993</v>
      </c>
    </row>
    <row r="3" spans="1:10" ht="14.5" customHeight="1" x14ac:dyDescent="0.35">
      <c r="A3" s="81"/>
      <c r="B3" s="66" t="s">
        <v>26</v>
      </c>
      <c r="C3" s="1" t="s">
        <v>25</v>
      </c>
      <c r="D3" s="17">
        <f>HLOOKUP(D$1,'Load Data'!$E$1:$T$13,8)</f>
        <v>3819</v>
      </c>
      <c r="E3" s="17">
        <f>HLOOKUP(E$1,'Load Data'!$E$1:$T$13,8)</f>
        <v>2795</v>
      </c>
      <c r="F3" s="17">
        <f>HLOOKUP(F$1,'Load Data'!$E$1:$T$13,8)</f>
        <v>3407</v>
      </c>
      <c r="G3" s="17">
        <f>HLOOKUP(G$1,'Load Data'!$E$1:$T$13,8)</f>
        <v>3856</v>
      </c>
      <c r="H3" s="17">
        <f>HLOOKUP(H$1,'Load Data'!$E$1:$T$13,8)</f>
        <v>4411.2988508611697</v>
      </c>
      <c r="I3" s="48">
        <f>MAX(MEDIAN($D$6:$H$6))</f>
        <v>4036</v>
      </c>
      <c r="J3" s="19">
        <f>I3*1.011*1.011</f>
        <v>4125.2803559999993</v>
      </c>
    </row>
    <row r="4" spans="1:10" ht="15" thickBot="1" x14ac:dyDescent="0.4">
      <c r="A4" s="82"/>
      <c r="B4" s="67" t="s">
        <v>27</v>
      </c>
      <c r="C4" s="8" t="s">
        <v>25</v>
      </c>
      <c r="D4" s="11">
        <f>HLOOKUP(D$1,'Load Data'!$E$1:$T$13,9)</f>
        <v>3597</v>
      </c>
      <c r="E4" s="11">
        <f>HLOOKUP(E$1,'Load Data'!$E$1:$T$13,9)</f>
        <v>3288</v>
      </c>
      <c r="F4" s="11">
        <f>HLOOKUP(F$1,'Load Data'!$E$1:$T$13,9)</f>
        <v>3288</v>
      </c>
      <c r="G4" s="11">
        <f>HLOOKUP(G$1,'Load Data'!$E$1:$T$13,9)</f>
        <v>3352</v>
      </c>
      <c r="H4" s="11">
        <f>HLOOKUP(H$1,'Load Data'!$E$1:$T$13,9)</f>
        <v>612.1996570597488</v>
      </c>
      <c r="I4" s="64">
        <f>MAX(MEDIAN($D$6:$H$6))</f>
        <v>4036</v>
      </c>
      <c r="J4" s="21">
        <f t="shared" ref="J4:J5" si="0">I4*1.011*1.011</f>
        <v>4125.2803559999993</v>
      </c>
    </row>
    <row r="5" spans="1:10" x14ac:dyDescent="0.35">
      <c r="A5" s="30"/>
      <c r="B5" s="42" t="s">
        <v>28</v>
      </c>
      <c r="C5" s="46" t="s">
        <v>25</v>
      </c>
      <c r="D5" s="43">
        <f>HLOOKUP(D$1,'Load Data'!$E$1:$T$13,10)</f>
        <v>3044</v>
      </c>
      <c r="E5" s="43">
        <f>HLOOKUP(E$1,'Load Data'!$E$1:$T$13,10)</f>
        <v>2959</v>
      </c>
      <c r="F5" s="43">
        <f>HLOOKUP(F$1,'Load Data'!$E$1:$T$13,10)</f>
        <v>3017</v>
      </c>
      <c r="G5" s="43">
        <f>HLOOKUP(G$1,'Load Data'!$E$1:$T$13,10)</f>
        <v>3467</v>
      </c>
      <c r="H5" s="43">
        <f>HLOOKUP(H$1,'Load Data'!$E$1:$T$13,10)</f>
        <v>2156.096415922224</v>
      </c>
      <c r="I5" s="49">
        <f t="shared" ref="I5" si="1">MEDIAN(D5:H5)</f>
        <v>3017</v>
      </c>
      <c r="J5" s="35">
        <f t="shared" si="0"/>
        <v>3083.7390569999998</v>
      </c>
    </row>
    <row r="6" spans="1:10" x14ac:dyDescent="0.35">
      <c r="C6" s="5" t="s">
        <v>29</v>
      </c>
      <c r="D6" s="22">
        <f>MAX(D2:D5)</f>
        <v>3819</v>
      </c>
      <c r="E6" s="22">
        <f>MAX(E2:E5)</f>
        <v>3288</v>
      </c>
      <c r="F6" s="22">
        <f>MAX(F2:F5)</f>
        <v>4036</v>
      </c>
      <c r="G6" s="22">
        <f>MAX(G2:G5)</f>
        <v>4128</v>
      </c>
      <c r="H6" s="22">
        <f>MAX(H2:H5)</f>
        <v>7162.0956234625355</v>
      </c>
    </row>
  </sheetData>
  <mergeCells count="1">
    <mergeCell ref="A2:A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90AF60121CF4CAE73D966E2D9F67D" ma:contentTypeVersion="17" ma:contentTypeDescription="Create a new document." ma:contentTypeScope="" ma:versionID="d204f22f66ddcf8685edeb9102a94ed2">
  <xsd:schema xmlns:xsd="http://www.w3.org/2001/XMLSchema" xmlns:xs="http://www.w3.org/2001/XMLSchema" xmlns:p="http://schemas.microsoft.com/office/2006/metadata/properties" xmlns:ns2="1ea7d379-df84-40f7-8d06-374b7b13cb98" xmlns:ns3="e5cddba6-378a-4677-98d9-f25f99898a99" targetNamespace="http://schemas.microsoft.com/office/2006/metadata/properties" ma:root="true" ma:fieldsID="91d3b83df3dceb26e46424b5a01b8ed6" ns2:_="" ns3:_="">
    <xsd:import namespace="1ea7d379-df84-40f7-8d06-374b7b13cb98"/>
    <xsd:import namespace="e5cddba6-378a-4677-98d9-f25f99898a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7d379-df84-40f7-8d06-374b7b13cb9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a8e9862-b5e3-4281-859d-82fca11a964c}" ma:internalName="TaxCatchAll" ma:showField="CatchAllData" ma:web="1ea7d379-df84-40f7-8d06-374b7b13cb9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cddba6-378a-4677-98d9-f25f99898a9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352913-d385-4540-b196-addd5576931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cddba6-378a-4677-98d9-f25f99898a99">
      <Terms xmlns="http://schemas.microsoft.com/office/infopath/2007/PartnerControls"/>
    </lcf76f155ced4ddcb4097134ff3c332f>
    <TaxCatchAll xmlns="1ea7d379-df84-40f7-8d06-374b7b13cb98" xsi:nil="true"/>
  </documentManagement>
</p:properties>
</file>

<file path=customXml/itemProps1.xml><?xml version="1.0" encoding="utf-8"?>
<ds:datastoreItem xmlns:ds="http://schemas.openxmlformats.org/officeDocument/2006/customXml" ds:itemID="{BB83302B-BEC3-4153-88DD-75422974B6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7d379-df84-40f7-8d06-374b7b13cb98"/>
    <ds:schemaRef ds:uri="e5cddba6-378a-4677-98d9-f25f99898a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18D94A-DF85-4AA3-8D2E-BA0722B5C459}">
  <ds:schemaRefs>
    <ds:schemaRef ds:uri="http://schemas.microsoft.com/sharepoint/v3/contenttype/forms"/>
  </ds:schemaRefs>
</ds:datastoreItem>
</file>

<file path=customXml/itemProps3.xml><?xml version="1.0" encoding="utf-8"?>
<ds:datastoreItem xmlns:ds="http://schemas.openxmlformats.org/officeDocument/2006/customXml" ds:itemID="{685290DA-FB8C-42AE-BC7E-8DBAFF696285}">
  <ds:schemaRefs>
    <ds:schemaRef ds:uri="http://www.w3.org/XML/1998/namespace"/>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e5cddba6-378a-4677-98d9-f25f99898a99"/>
    <ds:schemaRef ds:uri="1ea7d379-df84-40f7-8d06-374b7b13cb98"/>
    <ds:schemaRef ds:uri="http://schemas.microsoft.com/office/2006/metadata/properties"/>
  </ds:schemaRefs>
</ds:datastoreItem>
</file>

<file path=docMetadata/LabelInfo.xml><?xml version="1.0" encoding="utf-8"?>
<clbl:labelList xmlns:clbl="http://schemas.microsoft.com/office/2020/mipLabelMetadata">
  <clbl:label id="{e9692091-66b8-45b5-9087-387cbcef98ca}" enabled="1" method="Privileged" siteId="{3230926a-71b7-4370-a137-197badc066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Load Data</vt:lpstr>
      <vt:lpstr>Summer 27 Instructions</vt:lpstr>
      <vt:lpstr>S27 Forecast</vt:lpstr>
      <vt:lpstr>Winter Instructions</vt:lpstr>
      <vt:lpstr>W27-28 Forecast</vt:lpstr>
      <vt:lpstr>Summer 28 Instructions</vt:lpstr>
      <vt:lpstr>S28 Forecast</vt:lpstr>
    </vt:vector>
  </TitlesOfParts>
  <Manager/>
  <Company>Southwest Power Pool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Edin Terzic</dc:creator>
  <cp:keywords/>
  <dc:description/>
  <cp:lastModifiedBy>Kennedy Bruce (WPP)</cp:lastModifiedBy>
  <cp:revision/>
  <dcterms:created xsi:type="dcterms:W3CDTF">2022-07-26T14:10:12Z</dcterms:created>
  <dcterms:modified xsi:type="dcterms:W3CDTF">2026-09-18T15:32:07Z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0x010100BA690AF60121CF4CAE73D966E2D9F67D</vt:lpwstr>
  </property>
  <property fmtid="{D5CDD505-2E9C-101B-9397-08002B2CF9AE}" pid="3" name="MediaServiceImageTags">
    <vt:lpwstr/>
  </property>
</Properties>
</file>